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Default Extension="vml" ContentType="application/vnd.openxmlformats-officedocument.vmlDrawing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80" yWindow="0" windowWidth="14520" windowHeight="12200" tabRatio="655" firstSheet="24" activeTab="24"/>
  </bookViews>
  <sheets>
    <sheet name="Silver Bullet" sheetId="1" r:id="rId1"/>
    <sheet name="HUB" sheetId="2" r:id="rId2"/>
    <sheet name="Excalibur" sheetId="3" r:id="rId3"/>
    <sheet name="Grip block" sheetId="4" r:id="rId4"/>
    <sheet name="Apollon Axle" sheetId="5" r:id="rId5"/>
    <sheet name="Rolling Thunder" sheetId="6" r:id="rId6"/>
    <sheet name="ЖД СФО" sheetId="7" r:id="rId7"/>
    <sheet name="Любители ДК многоповторный жим" sheetId="8" r:id="rId8"/>
    <sheet name="Любители ДК жим на максимум" sheetId="9" r:id="rId9"/>
    <sheet name="ЖД любители ДК" sheetId="10" r:id="rId10"/>
    <sheet name="Любители многоповторный жим" sheetId="11" r:id="rId11"/>
    <sheet name="Любители жим на максимум" sheetId="12" r:id="rId12"/>
    <sheet name="ЖД любители" sheetId="13" r:id="rId13"/>
    <sheet name="Проф. многоповторный жим" sheetId="14" r:id="rId14"/>
    <sheet name="Профессионалы жим на максимум" sheetId="15" r:id="rId15"/>
    <sheet name="ЖД профессионалы" sheetId="16" r:id="rId16"/>
    <sheet name="ЖД армейский жим" sheetId="17" r:id="rId17"/>
    <sheet name="SOFT многоповторный жим" sheetId="18" r:id="rId18"/>
    <sheet name="SOFT жим на максимум" sheetId="19" r:id="rId19"/>
    <sheet name="ЖД SOFT" sheetId="20" r:id="rId20"/>
    <sheet name="Военный многоповторный жим" sheetId="21" r:id="rId21"/>
    <sheet name="Военный жим на максимум" sheetId="22" r:id="rId22"/>
    <sheet name="ЖД военный жим" sheetId="23" r:id="rId23"/>
    <sheet name="Богатырский жим 160 кг" sheetId="24" r:id="rId24"/>
    <sheet name="Пауэрспорт ДК" sheetId="25" r:id="rId25"/>
    <sheet name="Пауэрспорт" sheetId="26" r:id="rId26"/>
    <sheet name="Становая тяга в экипировке ДК" sheetId="27" r:id="rId27"/>
    <sheet name="Становая тяга в экипировке" sheetId="28" r:id="rId28"/>
    <sheet name="Становая тяга без экипировки ДК" sheetId="29" r:id="rId29"/>
    <sheet name="Становая тяга без экипировки " sheetId="30" r:id="rId30"/>
    <sheet name="Народный жим (1_2 веса) ДК" sheetId="31" r:id="rId31"/>
    <sheet name="Народный жим (1_2 веса)" sheetId="32" r:id="rId32"/>
    <sheet name="Народный жим (1 вес) ДК" sheetId="33" r:id="rId33"/>
    <sheet name="Народный жим (1 вес)" sheetId="34" r:id="rId34"/>
    <sheet name="Жим лежа SOFT ДК" sheetId="35" r:id="rId35"/>
    <sheet name="Жим лежа SOFT" sheetId="36" r:id="rId36"/>
    <sheet name="Жим лежа СФО" sheetId="37" r:id="rId37"/>
    <sheet name="Жим лежа многослойная экип. ДК" sheetId="38" r:id="rId38"/>
    <sheet name="Жим лежа многослойная экип." sheetId="39" r:id="rId39"/>
    <sheet name="Жим лежа однослойная экип. ДК" sheetId="40" r:id="rId40"/>
    <sheet name="Жим лежа однослойная экипировка" sheetId="41" r:id="rId41"/>
    <sheet name="Жим лежа без экипировки ДК" sheetId="42" r:id="rId42"/>
    <sheet name="Жим лежа без экипировки" sheetId="43" r:id="rId43"/>
    <sheet name="Присед в однослойной экип. ДК" sheetId="44" r:id="rId44"/>
    <sheet name="Присед в однослойной экипировке" sheetId="45" r:id="rId45"/>
    <sheet name="Присед в бинтах ДК" sheetId="46" r:id="rId46"/>
    <sheet name="Присед в бинтах" sheetId="47" r:id="rId47"/>
    <sheet name="Присед без экипировки ДК" sheetId="48" r:id="rId48"/>
    <sheet name="Присед без экипировки" sheetId="49" r:id="rId49"/>
    <sheet name="Силовое двоеборье в экип. ДК" sheetId="50" r:id="rId50"/>
    <sheet name="Силовое двоеборье в экипировке" sheetId="51" r:id="rId51"/>
    <sheet name="Силовое двоеборье без экип. ДК" sheetId="52" r:id="rId52"/>
    <sheet name="Силовое двоеборье без экип." sheetId="53" r:id="rId53"/>
    <sheet name="Пауэрлифтинг многосл. экип. ДК" sheetId="54" r:id="rId54"/>
    <sheet name="Пауэрлифтинг односл. экип. ДК" sheetId="55" r:id="rId55"/>
    <sheet name="Пауэрлифтинг однослойная экип." sheetId="56" r:id="rId56"/>
    <sheet name="Пауэрлифтинг в бинтах ДК" sheetId="57" r:id="rId57"/>
    <sheet name="Пауэрлифтинг в бинтах" sheetId="58" r:id="rId58"/>
    <sheet name="Пауэрлифтинг без экипировки ДК" sheetId="59" r:id="rId59"/>
    <sheet name="Пауэрлифтинг без экипировки" sheetId="60" r:id="rId60"/>
    <sheet name="Судейский корпус" sheetId="61" r:id="rId61"/>
    <sheet name="Командный зачет" sheetId="62" r:id="rId62"/>
  </sheets>
  <definedNames/>
  <calcPr fullCalcOnLoad="1" refMode="R1C1"/>
</workbook>
</file>

<file path=xl/sharedStrings.xml><?xml version="1.0" encoding="utf-8"?>
<sst xmlns="http://schemas.openxmlformats.org/spreadsheetml/2006/main" count="18500" uniqueCount="4728">
  <si>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</si>
  <si>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</si>
  <si>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</si>
  <si>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</si>
  <si>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</si>
  <si>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</si>
  <si>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</si>
  <si>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</si>
  <si>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</si>
  <si>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Wilks</t>
  </si>
  <si>
    <t>ВЕСОВАЯ КАТЕГОРИЯ   56</t>
  </si>
  <si>
    <t>Беляк Марина</t>
  </si>
  <si>
    <t>Masters 45-49 (28.11.1967)/48</t>
  </si>
  <si>
    <t>54,90</t>
  </si>
  <si>
    <t xml:space="preserve">Ну Погоди </t>
  </si>
  <si>
    <t>35,0</t>
  </si>
  <si>
    <t>40,0</t>
  </si>
  <si>
    <t>40.00</t>
  </si>
  <si>
    <t>ВЕСОВАЯ КАТЕГОРИЯ   67.5</t>
  </si>
  <si>
    <t>Нащекина Маргарита</t>
  </si>
  <si>
    <t>Open (07.07.1989)/26</t>
  </si>
  <si>
    <t>66,50</t>
  </si>
  <si>
    <t xml:space="preserve">Slavia fitness </t>
  </si>
  <si>
    <t xml:space="preserve">Саратов/Саратовская область </t>
  </si>
  <si>
    <t>107,5</t>
  </si>
  <si>
    <t>110,0</t>
  </si>
  <si>
    <t>107.50</t>
  </si>
  <si>
    <t xml:space="preserve">самостоятельно </t>
  </si>
  <si>
    <t>Серкова Мария</t>
  </si>
  <si>
    <t>Open (26.03.1982)/34</t>
  </si>
  <si>
    <t>67,00</t>
  </si>
  <si>
    <t xml:space="preserve">Лично </t>
  </si>
  <si>
    <t>87,5</t>
  </si>
  <si>
    <t>95,0</t>
  </si>
  <si>
    <t>95.00</t>
  </si>
  <si>
    <t>Борцова Юлия</t>
  </si>
  <si>
    <t>Masters 40-44 (25.05.1975)/40</t>
  </si>
  <si>
    <t>63,70</t>
  </si>
  <si>
    <t xml:space="preserve">Челябинск/Челябинская область </t>
  </si>
  <si>
    <t>30,0</t>
  </si>
  <si>
    <t>37,5</t>
  </si>
  <si>
    <t>30.00</t>
  </si>
  <si>
    <t>ВЕСОВАЯ КАТЕГОРИЯ   75</t>
  </si>
  <si>
    <t>Хабирова Валерия</t>
  </si>
  <si>
    <t>Open (20.01.1988)/28</t>
  </si>
  <si>
    <t>74,10</t>
  </si>
  <si>
    <t xml:space="preserve">viktoria </t>
  </si>
  <si>
    <t xml:space="preserve">Пермь/Пермский край </t>
  </si>
  <si>
    <t>80,0</t>
  </si>
  <si>
    <t>90,0</t>
  </si>
  <si>
    <t>90.00</t>
  </si>
  <si>
    <t xml:space="preserve">Самостоятельно </t>
  </si>
  <si>
    <t>Open (10.06.1987)/28</t>
  </si>
  <si>
    <t>73,80</t>
  </si>
  <si>
    <t xml:space="preserve">Сборная Санкт-Петербурга </t>
  </si>
  <si>
    <t>67,5</t>
  </si>
  <si>
    <t>72,5</t>
  </si>
  <si>
    <t>75,0</t>
  </si>
  <si>
    <t>75.00</t>
  </si>
  <si>
    <t>ВЕСОВАЯ КАТЕГОРИЯ   90</t>
  </si>
  <si>
    <t>Кныш Виктория</t>
  </si>
  <si>
    <t>Open (21.03.1983)/33</t>
  </si>
  <si>
    <t>86,40</t>
  </si>
  <si>
    <t>155,0</t>
  </si>
  <si>
    <t>160,0</t>
  </si>
  <si>
    <t>155.00</t>
  </si>
  <si>
    <t>ВЕСОВАЯ КАТЕГОРИЯ   52</t>
  </si>
  <si>
    <t>Teenage 15-19 (06.11.2002)/13</t>
  </si>
  <si>
    <t>41,20</t>
  </si>
  <si>
    <t xml:space="preserve">Россошь/Воронежская область </t>
  </si>
  <si>
    <t>42,5</t>
  </si>
  <si>
    <t>45,0</t>
  </si>
  <si>
    <t>45.00</t>
  </si>
  <si>
    <t>Белоусов Роман</t>
  </si>
  <si>
    <t>Open (19.10.1991)/24</t>
  </si>
  <si>
    <t>55,00</t>
  </si>
  <si>
    <t>157,5</t>
  </si>
  <si>
    <t>162,5</t>
  </si>
  <si>
    <t>162.50</t>
  </si>
  <si>
    <t xml:space="preserve">Лукьянов А. </t>
  </si>
  <si>
    <t>ВЕСОВАЯ КАТЕГОРИЯ   60</t>
  </si>
  <si>
    <t>Open (01.12.1989)/26</t>
  </si>
  <si>
    <t>58,70</t>
  </si>
  <si>
    <t>87.50</t>
  </si>
  <si>
    <t>Эргашев Ильхом</t>
  </si>
  <si>
    <t>Teenage 15-19 (16.12.1996)/19</t>
  </si>
  <si>
    <t>64,40</t>
  </si>
  <si>
    <t xml:space="preserve">Самара/Самарская область </t>
  </si>
  <si>
    <t>120,0</t>
  </si>
  <si>
    <t>130,0</t>
  </si>
  <si>
    <t>130.00</t>
  </si>
  <si>
    <t>Teenage 15-19 (29.07.2000)/15</t>
  </si>
  <si>
    <t>66,30</t>
  </si>
  <si>
    <t>55,0</t>
  </si>
  <si>
    <t>60,0</t>
  </si>
  <si>
    <t>65,0</t>
  </si>
  <si>
    <t>60.00</t>
  </si>
  <si>
    <t>Juniors 20-23 (01.08.1993)/22</t>
  </si>
  <si>
    <t>67,50</t>
  </si>
  <si>
    <t xml:space="preserve">Великие Луки </t>
  </si>
  <si>
    <t>127,5</t>
  </si>
  <si>
    <t>132,5</t>
  </si>
  <si>
    <t>132.50</t>
  </si>
  <si>
    <t>Masters 60-64 (24.08.1955)/60</t>
  </si>
  <si>
    <t>65,30</t>
  </si>
  <si>
    <t xml:space="preserve">Вологда/Вологодская область </t>
  </si>
  <si>
    <t>Open (23.04.1985)/31</t>
  </si>
  <si>
    <t>73,70</t>
  </si>
  <si>
    <t>190,0</t>
  </si>
  <si>
    <t>202,5</t>
  </si>
  <si>
    <t>190.00</t>
  </si>
  <si>
    <t>Open (27.05.1990)/25</t>
  </si>
  <si>
    <t>71,60</t>
  </si>
  <si>
    <t>120.00</t>
  </si>
  <si>
    <t>Masters 75-79 (25.11.1939)/76</t>
  </si>
  <si>
    <t>71,90</t>
  </si>
  <si>
    <t>ВЕСОВАЯ КАТЕГОРИЯ   82.5</t>
  </si>
  <si>
    <t>Open (30.01.1988)/28</t>
  </si>
  <si>
    <t>82,00</t>
  </si>
  <si>
    <t xml:space="preserve">Подольск/Московская область </t>
  </si>
  <si>
    <t>195,0</t>
  </si>
  <si>
    <t>205,0</t>
  </si>
  <si>
    <t>195.00</t>
  </si>
  <si>
    <t>Open (19.04.1989)/27</t>
  </si>
  <si>
    <t>80,80</t>
  </si>
  <si>
    <t xml:space="preserve">СССР </t>
  </si>
  <si>
    <t>175,0</t>
  </si>
  <si>
    <t>180,0</t>
  </si>
  <si>
    <t>175.00</t>
  </si>
  <si>
    <t>Open (16.04.1988)/28</t>
  </si>
  <si>
    <t xml:space="preserve">Artisan Team </t>
  </si>
  <si>
    <t>145,0</t>
  </si>
  <si>
    <t>150,0</t>
  </si>
  <si>
    <t>145.00</t>
  </si>
  <si>
    <t>Open (14.05.1985)/30</t>
  </si>
  <si>
    <t xml:space="preserve">Пушкино/Московская область </t>
  </si>
  <si>
    <t>142,5</t>
  </si>
  <si>
    <t>Teenage 15-19 (02.10.1998)/17</t>
  </si>
  <si>
    <t>86,10</t>
  </si>
  <si>
    <t>122,5</t>
  </si>
  <si>
    <t>122.50</t>
  </si>
  <si>
    <t>Juniors 20-23 (22.05.1992)/23</t>
  </si>
  <si>
    <t>86,30</t>
  </si>
  <si>
    <t xml:space="preserve">Раменское/Московская область </t>
  </si>
  <si>
    <t>0,0</t>
  </si>
  <si>
    <t>Хомов Евгений</t>
  </si>
  <si>
    <t>Open (15.07.1982)/33</t>
  </si>
  <si>
    <t>88,90</t>
  </si>
  <si>
    <t xml:space="preserve">Nizhny Novgorod Power team (NNPT) </t>
  </si>
  <si>
    <t xml:space="preserve">Нижний Новгород/Нижегородская область </t>
  </si>
  <si>
    <t>Open (22.04.1979)/37</t>
  </si>
  <si>
    <t>89,80</t>
  </si>
  <si>
    <t xml:space="preserve">Великие Луки/Псковская область </t>
  </si>
  <si>
    <t>170,0</t>
  </si>
  <si>
    <t>180.00</t>
  </si>
  <si>
    <t>Шейкин Алексей</t>
  </si>
  <si>
    <t>Open (24.03.1988)/28</t>
  </si>
  <si>
    <t>89,30</t>
  </si>
  <si>
    <t xml:space="preserve">Шумский В. </t>
  </si>
  <si>
    <t>Open (27.08.1989)/26</t>
  </si>
  <si>
    <t>87,80</t>
  </si>
  <si>
    <t xml:space="preserve">Лидер </t>
  </si>
  <si>
    <t xml:space="preserve">Орехово-Зуево/Московская область </t>
  </si>
  <si>
    <t>170.00</t>
  </si>
  <si>
    <t>ВЕСОВАЯ КАТЕГОРИЯ   100</t>
  </si>
  <si>
    <t>Максимкин Даниил</t>
  </si>
  <si>
    <t>Juniors 20-23 (07.08.1992)/23</t>
  </si>
  <si>
    <t>99,40</t>
  </si>
  <si>
    <t xml:space="preserve">Тольятти/Самарская область </t>
  </si>
  <si>
    <t>197,5</t>
  </si>
  <si>
    <t>202.50</t>
  </si>
  <si>
    <t>Мартиросов Эдуард</t>
  </si>
  <si>
    <t>Juniors 20-23 (22.06.1995)/20</t>
  </si>
  <si>
    <t>95,10</t>
  </si>
  <si>
    <t xml:space="preserve">Хотьково/Московская область </t>
  </si>
  <si>
    <t>185,0</t>
  </si>
  <si>
    <t>192,5</t>
  </si>
  <si>
    <t>185.00</t>
  </si>
  <si>
    <t>Juniors 20-23 (23.12.1993)/22</t>
  </si>
  <si>
    <t>98,30</t>
  </si>
  <si>
    <t>Juniors 20-23 (23.02.1994)/22</t>
  </si>
  <si>
    <t>95,70</t>
  </si>
  <si>
    <t xml:space="preserve">Мичуринск/Тамбовская область </t>
  </si>
  <si>
    <t>165,0</t>
  </si>
  <si>
    <t>Мамедов Дилавар</t>
  </si>
  <si>
    <t>Juniors 20-23 (11.07.1993)/22</t>
  </si>
  <si>
    <t>99,00</t>
  </si>
  <si>
    <t>Open (14.05.1986)/29</t>
  </si>
  <si>
    <t>98,10</t>
  </si>
  <si>
    <t xml:space="preserve">Белгород/Белгородская область </t>
  </si>
  <si>
    <t>200,0</t>
  </si>
  <si>
    <t>210,0</t>
  </si>
  <si>
    <t>215,0</t>
  </si>
  <si>
    <t>210.00</t>
  </si>
  <si>
    <t>Open (20.09.1989)/26</t>
  </si>
  <si>
    <t>93,40</t>
  </si>
  <si>
    <t xml:space="preserve">Пенза/Пензенская область </t>
  </si>
  <si>
    <t>205.00</t>
  </si>
  <si>
    <t>Чередниченко Александр</t>
  </si>
  <si>
    <t>Open (18.09.1975)/40</t>
  </si>
  <si>
    <t>98,00</t>
  </si>
  <si>
    <t xml:space="preserve">Воронеж/Воронежская область </t>
  </si>
  <si>
    <t>207,5</t>
  </si>
  <si>
    <t>200.00</t>
  </si>
  <si>
    <t>Open (22.10.1987)/28</t>
  </si>
  <si>
    <t>98,20</t>
  </si>
  <si>
    <t>Alexopoulos Konstantinos</t>
  </si>
  <si>
    <t>Open (03.11.1968)/47</t>
  </si>
  <si>
    <t>98,70</t>
  </si>
  <si>
    <t xml:space="preserve">Greece </t>
  </si>
  <si>
    <t>Open (18.01.1978)/38</t>
  </si>
  <si>
    <t>94,70</t>
  </si>
  <si>
    <t>Open (25.03.1974)/42</t>
  </si>
  <si>
    <t>98,80</t>
  </si>
  <si>
    <t xml:space="preserve">Выборг/Ленинградская область </t>
  </si>
  <si>
    <t>Open (19.07.1967)/48</t>
  </si>
  <si>
    <t>96,00</t>
  </si>
  <si>
    <t>165.00</t>
  </si>
  <si>
    <t>Masters 40-44 (18.09.1975)/40</t>
  </si>
  <si>
    <t>Masters 40-44 (25.03.1974)/42</t>
  </si>
  <si>
    <t>Masters 40-44 (20.03.1975)/41</t>
  </si>
  <si>
    <t>99,10</t>
  </si>
  <si>
    <t xml:space="preserve">Долгопрудный/Московская область </t>
  </si>
  <si>
    <t>Masters 45-49 (03.11.1968)/47</t>
  </si>
  <si>
    <t>Masters 45-49 (19.07.1967)/48</t>
  </si>
  <si>
    <t>Masters 50-54 (10.04.1966)/50</t>
  </si>
  <si>
    <t>97,60</t>
  </si>
  <si>
    <t>ВЕСОВАЯ КАТЕГОРИЯ   110</t>
  </si>
  <si>
    <t>Кочетков Андрей</t>
  </si>
  <si>
    <t>Teenage 15-19 (19.07.1996)/19</t>
  </si>
  <si>
    <t>101,20</t>
  </si>
  <si>
    <t>160.00</t>
  </si>
  <si>
    <t>Juniors 20-23 (09.03.1995)/21</t>
  </si>
  <si>
    <t>107,40</t>
  </si>
  <si>
    <t>Филатов Евгений</t>
  </si>
  <si>
    <t>Open (15.10.1981)/34</t>
  </si>
  <si>
    <t>103,30</t>
  </si>
  <si>
    <t>220,0</t>
  </si>
  <si>
    <t>230,0</t>
  </si>
  <si>
    <t>235,0</t>
  </si>
  <si>
    <t>235.00</t>
  </si>
  <si>
    <t>Сагдиев Рустем</t>
  </si>
  <si>
    <t>Open (21.10.1971)/44</t>
  </si>
  <si>
    <t>105,90</t>
  </si>
  <si>
    <t xml:space="preserve">Набережные Челны/Татарстан </t>
  </si>
  <si>
    <t>225,0</t>
  </si>
  <si>
    <t>232,5</t>
  </si>
  <si>
    <t>Open (28.10.1979)/36</t>
  </si>
  <si>
    <t>107,90</t>
  </si>
  <si>
    <t>220.00</t>
  </si>
  <si>
    <t>Open (14.11.1987)/28</t>
  </si>
  <si>
    <t>102,40</t>
  </si>
  <si>
    <t>217,5</t>
  </si>
  <si>
    <t>222,5</t>
  </si>
  <si>
    <t>217.50</t>
  </si>
  <si>
    <t>Open (29.01.1986)/30</t>
  </si>
  <si>
    <t>108,10</t>
  </si>
  <si>
    <t>215.00</t>
  </si>
  <si>
    <t xml:space="preserve">Калугин В </t>
  </si>
  <si>
    <t>Open (24.04.1987)/29</t>
  </si>
  <si>
    <t>103,70</t>
  </si>
  <si>
    <t>Open (03.11.1977)/38</t>
  </si>
  <si>
    <t>107,50</t>
  </si>
  <si>
    <t>192.50</t>
  </si>
  <si>
    <t>Open (09.08.1979)/36</t>
  </si>
  <si>
    <t>104,70</t>
  </si>
  <si>
    <t>104,40</t>
  </si>
  <si>
    <t xml:space="preserve">Люберцы/Московская область </t>
  </si>
  <si>
    <t>167,5</t>
  </si>
  <si>
    <t>177,5</t>
  </si>
  <si>
    <t>177.50</t>
  </si>
  <si>
    <t>Андриякин Виталий</t>
  </si>
  <si>
    <t>Open (23.06.1983)/32</t>
  </si>
  <si>
    <t>106,80</t>
  </si>
  <si>
    <t>Masters 40-44 (21.10.1971)/44</t>
  </si>
  <si>
    <t>Masters 40-44 (28.12.1974)/41</t>
  </si>
  <si>
    <t>104,80</t>
  </si>
  <si>
    <t>Masters 40-44 (18.08.1975)/40</t>
  </si>
  <si>
    <t>101,30</t>
  </si>
  <si>
    <t xml:space="preserve">Щербинка/Московская область </t>
  </si>
  <si>
    <t>197.50</t>
  </si>
  <si>
    <t>Masters 40-44 (02.10.1974)/41</t>
  </si>
  <si>
    <t>105,50</t>
  </si>
  <si>
    <t>Галахов Александр</t>
  </si>
  <si>
    <t>Masters 40-44 (21.05.1971)/44</t>
  </si>
  <si>
    <t>106,50</t>
  </si>
  <si>
    <t xml:space="preserve">Орск/Оренбургская область </t>
  </si>
  <si>
    <t>Masters 45-49 (29.01.1969)/47</t>
  </si>
  <si>
    <t>105,00</t>
  </si>
  <si>
    <t>Masters 45-49 (06.12.1969)/46</t>
  </si>
  <si>
    <t>107,20</t>
  </si>
  <si>
    <t xml:space="preserve">Протвино/Московская область </t>
  </si>
  <si>
    <t>Masters 50-54 (26.04.1962)/53</t>
  </si>
  <si>
    <t>108,90</t>
  </si>
  <si>
    <t xml:space="preserve">Сергиев Посад/Московская облас </t>
  </si>
  <si>
    <t>201,0</t>
  </si>
  <si>
    <t>Masters 50-54 (23.01.1962)/54</t>
  </si>
  <si>
    <t>152,5</t>
  </si>
  <si>
    <t>152.50</t>
  </si>
  <si>
    <t>Masters 65-69 (08.12.1951)/64</t>
  </si>
  <si>
    <t>101,90</t>
  </si>
  <si>
    <t xml:space="preserve">Корпорация Монстров </t>
  </si>
  <si>
    <t xml:space="preserve">Брянск/Брянская область </t>
  </si>
  <si>
    <t>100,0</t>
  </si>
  <si>
    <t>ВЕСОВАЯ КАТЕГОРИЯ   125</t>
  </si>
  <si>
    <t>Зайцев Виталий</t>
  </si>
  <si>
    <t>Teenage 15-19 (09.03.1997)/19</t>
  </si>
  <si>
    <t>111,30</t>
  </si>
  <si>
    <t xml:space="preserve">Лобня/Московская область </t>
  </si>
  <si>
    <t>Педченко Александр</t>
  </si>
  <si>
    <t>Juniors 20-23 (20.05.1993)/22</t>
  </si>
  <si>
    <t>110,30</t>
  </si>
  <si>
    <t>227,5</t>
  </si>
  <si>
    <t>222.50</t>
  </si>
  <si>
    <t>Маркелов Алексей</t>
  </si>
  <si>
    <t>Open (12.06.1984)/31</t>
  </si>
  <si>
    <t>112,70</t>
  </si>
  <si>
    <t>240,0</t>
  </si>
  <si>
    <t>247,5</t>
  </si>
  <si>
    <t>250,0</t>
  </si>
  <si>
    <t>250.00</t>
  </si>
  <si>
    <t xml:space="preserve">Марченко В. </t>
  </si>
  <si>
    <t>Лисютин Максим</t>
  </si>
  <si>
    <t>Open (24.04.1985)/31</t>
  </si>
  <si>
    <t>116,20</t>
  </si>
  <si>
    <t>Sapounakis Pantelis</t>
  </si>
  <si>
    <t>Open (30.10.1980)/35</t>
  </si>
  <si>
    <t>119,30</t>
  </si>
  <si>
    <t>240.00</t>
  </si>
  <si>
    <t>Молчанов Сергей</t>
  </si>
  <si>
    <t>Open (15.03.1973)/43</t>
  </si>
  <si>
    <t>115,40</t>
  </si>
  <si>
    <t>230.00</t>
  </si>
  <si>
    <t>Open (05.07.1981)/34</t>
  </si>
  <si>
    <t>114,40</t>
  </si>
  <si>
    <t>Open (28.07.1989)/26</t>
  </si>
  <si>
    <t>120,00</t>
  </si>
  <si>
    <t xml:space="preserve">Вичуга/Ивановская область </t>
  </si>
  <si>
    <t>Beroshvili George</t>
  </si>
  <si>
    <t>Open (27.03.1984)/32</t>
  </si>
  <si>
    <t>125,00</t>
  </si>
  <si>
    <t>270,0</t>
  </si>
  <si>
    <t>Masters 40-44 (15.03.1973)/43</t>
  </si>
  <si>
    <t>Masters 40-44 (26.05.1972)/43</t>
  </si>
  <si>
    <t>111,60</t>
  </si>
  <si>
    <t>Masters 40-44 (31.03.1974)/42</t>
  </si>
  <si>
    <t>115,70</t>
  </si>
  <si>
    <t xml:space="preserve">Серпухов/Московская область </t>
  </si>
  <si>
    <t>Masters 50-54 (18.04.1966)/50</t>
  </si>
  <si>
    <t>116,40</t>
  </si>
  <si>
    <t>182,5</t>
  </si>
  <si>
    <t>182.50</t>
  </si>
  <si>
    <t>Логунов Анатолий</t>
  </si>
  <si>
    <t>Masters 60-64 (08.01.1953)/63</t>
  </si>
  <si>
    <t>113,30</t>
  </si>
  <si>
    <t>ВЕСОВАЯ КАТЕГОРИЯ   140</t>
  </si>
  <si>
    <t>Juniors 20-23 (11.02.1993)/23</t>
  </si>
  <si>
    <t>125,80</t>
  </si>
  <si>
    <t>Морозов Александр</t>
  </si>
  <si>
    <t>Open (16.06.1987)/28</t>
  </si>
  <si>
    <t>126,60</t>
  </si>
  <si>
    <t>Инютин Андрей</t>
  </si>
  <si>
    <t>Masters 40-44 (18.05.1975)/40</t>
  </si>
  <si>
    <t>129,20</t>
  </si>
  <si>
    <t>ВЕСОВАЯ КАТЕГОРИЯ   140+</t>
  </si>
  <si>
    <t>Rankin Bejerano</t>
  </si>
  <si>
    <t>Open (07.10.1975)/40</t>
  </si>
  <si>
    <t>190,00</t>
  </si>
  <si>
    <t>252,5</t>
  </si>
  <si>
    <t>Masters 40-44 (07.10.1975)/40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</si>
  <si>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</si>
  <si>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</si>
  <si>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</si>
  <si>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</si>
  <si>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</si>
  <si>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</si>
  <si>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</si>
  <si>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</si>
  <si>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90 </t>
  </si>
  <si>
    <t>136,3535</t>
  </si>
  <si>
    <t xml:space="preserve">67.5 </t>
  </si>
  <si>
    <t>110,9078</t>
  </si>
  <si>
    <t>97,4795</t>
  </si>
  <si>
    <t xml:space="preserve">75 </t>
  </si>
  <si>
    <t xml:space="preserve">Мастера 45 - 49 </t>
  </si>
  <si>
    <t xml:space="preserve">56 </t>
  </si>
  <si>
    <t xml:space="preserve">Мастера 40 - 44 </t>
  </si>
  <si>
    <t xml:space="preserve">Мужчины </t>
  </si>
  <si>
    <t xml:space="preserve">Юноши 15-19 </t>
  </si>
  <si>
    <t xml:space="preserve">125 </t>
  </si>
  <si>
    <t>114,3480</t>
  </si>
  <si>
    <t>104,1820</t>
  </si>
  <si>
    <t xml:space="preserve">110 </t>
  </si>
  <si>
    <t>96,9120</t>
  </si>
  <si>
    <t xml:space="preserve">52 </t>
  </si>
  <si>
    <t xml:space="preserve">Юниоры 20 - 23 </t>
  </si>
  <si>
    <t>130,8300</t>
  </si>
  <si>
    <t xml:space="preserve">100 </t>
  </si>
  <si>
    <t>123,5452</t>
  </si>
  <si>
    <t>115,0145</t>
  </si>
  <si>
    <t xml:space="preserve">140 </t>
  </si>
  <si>
    <t>150,5887</t>
  </si>
  <si>
    <t>146,0750</t>
  </si>
  <si>
    <t>144,8750</t>
  </si>
  <si>
    <t xml:space="preserve">82.5 </t>
  </si>
  <si>
    <t xml:space="preserve">140+ </t>
  </si>
  <si>
    <t>146,1736</t>
  </si>
  <si>
    <t xml:space="preserve">Мастера 60 - 64 </t>
  </si>
  <si>
    <t>139,3597</t>
  </si>
  <si>
    <t>137,2534</t>
  </si>
  <si>
    <t xml:space="preserve">Мастера 50 - 54 </t>
  </si>
  <si>
    <t xml:space="preserve">Мастера 75 - 79 </t>
  </si>
  <si>
    <t>ВЕСОВАЯ КАТЕГОРИЯ   48</t>
  </si>
  <si>
    <t>Лебедева Вероника</t>
  </si>
  <si>
    <t>Open (19.09.1989)/26</t>
  </si>
  <si>
    <t>46,90</t>
  </si>
  <si>
    <t>70,0</t>
  </si>
  <si>
    <t>Open (20.11.1989)/26</t>
  </si>
  <si>
    <t>47,90</t>
  </si>
  <si>
    <t>52,5</t>
  </si>
  <si>
    <t>Open (30.07.1988)/27</t>
  </si>
  <si>
    <t>47,5</t>
  </si>
  <si>
    <t>Open (23.09.1986)/29</t>
  </si>
  <si>
    <t>51,10</t>
  </si>
  <si>
    <t>62,5</t>
  </si>
  <si>
    <t>Райляну Диана</t>
  </si>
  <si>
    <t>Open (26.06.1989)/26</t>
  </si>
  <si>
    <t>52,00</t>
  </si>
  <si>
    <t>Павличенко Алла</t>
  </si>
  <si>
    <t>Masters 40-44 (15.10.1974)/41</t>
  </si>
  <si>
    <t>49,70</t>
  </si>
  <si>
    <t xml:space="preserve">Команда А </t>
  </si>
  <si>
    <t>50,0</t>
  </si>
  <si>
    <t>Боброва Полина</t>
  </si>
  <si>
    <t>Teenage 15-19 (17.06.1996)/19</t>
  </si>
  <si>
    <t>54,30</t>
  </si>
  <si>
    <t>Субботина Елена</t>
  </si>
  <si>
    <t>Open (03.07.1984)/31</t>
  </si>
  <si>
    <t>53,00</t>
  </si>
  <si>
    <t>Славина Анна</t>
  </si>
  <si>
    <t>Open (02.06.1987)/28</t>
  </si>
  <si>
    <t>56,00</t>
  </si>
  <si>
    <t>Дударева Екатерина</t>
  </si>
  <si>
    <t>Open (08.11.1993)/22</t>
  </si>
  <si>
    <t>55,20</t>
  </si>
  <si>
    <t xml:space="preserve">Рошаль/Московская область </t>
  </si>
  <si>
    <t>115,0</t>
  </si>
  <si>
    <t>125,0</t>
  </si>
  <si>
    <t>Длужневская Владислава</t>
  </si>
  <si>
    <t>Teenage 15-19 (10.06.2000)/15</t>
  </si>
  <si>
    <t>59,00</t>
  </si>
  <si>
    <t>97,5</t>
  </si>
  <si>
    <t>102,5</t>
  </si>
  <si>
    <t>Juniors 20-23 (22.03.1995)/21</t>
  </si>
  <si>
    <t>59,80</t>
  </si>
  <si>
    <t>Juniors 20-23 (08.02.1993)/23</t>
  </si>
  <si>
    <t>57,50</t>
  </si>
  <si>
    <t>57,5</t>
  </si>
  <si>
    <t>Open (10.08.1985)/30</t>
  </si>
  <si>
    <t>58,40</t>
  </si>
  <si>
    <t>Самойленко Алла</t>
  </si>
  <si>
    <t>Teenage 15-19 (24.06.1999)/16</t>
  </si>
  <si>
    <t>62,30</t>
  </si>
  <si>
    <t>Juniors 20-23 (04.06.1992)/23</t>
  </si>
  <si>
    <t>60,90</t>
  </si>
  <si>
    <t xml:space="preserve">Тверь/Тверская область </t>
  </si>
  <si>
    <t xml:space="preserve">Ефименков П.С Шарабайко А.А </t>
  </si>
  <si>
    <t>Кузнецова Юлия</t>
  </si>
  <si>
    <t>Open (15.05.1973)/42</t>
  </si>
  <si>
    <t>63,30</t>
  </si>
  <si>
    <t xml:space="preserve">Новоржев/Псковская область </t>
  </si>
  <si>
    <t>105,0</t>
  </si>
  <si>
    <t>Open (16.03.1981)/35</t>
  </si>
  <si>
    <t>63,00</t>
  </si>
  <si>
    <t>85,0</t>
  </si>
  <si>
    <t>Open (07.09.1984)/31</t>
  </si>
  <si>
    <t>67,40</t>
  </si>
  <si>
    <t>Казнакова Ирина</t>
  </si>
  <si>
    <t>Open (05.10.1988)/27</t>
  </si>
  <si>
    <t>61,20</t>
  </si>
  <si>
    <t>140,0</t>
  </si>
  <si>
    <t>Open (24.07.1982)/33</t>
  </si>
  <si>
    <t>64,70</t>
  </si>
  <si>
    <t xml:space="preserve">Богородицк-стронг </t>
  </si>
  <si>
    <t xml:space="preserve">Богородицк/Тульская область </t>
  </si>
  <si>
    <t>Open (04.06.1992)/23</t>
  </si>
  <si>
    <t>Стрелкова Татьяна</t>
  </si>
  <si>
    <t>Masters 40-44 (08.01.1975)/41</t>
  </si>
  <si>
    <t xml:space="preserve">Сочи/Краснодарский край </t>
  </si>
  <si>
    <t>Open (04.11.1976)/39</t>
  </si>
  <si>
    <t>73,60</t>
  </si>
  <si>
    <t>Open (24.12.1991)/24</t>
  </si>
  <si>
    <t>67,80</t>
  </si>
  <si>
    <t>Open (04.08.1986)/29</t>
  </si>
  <si>
    <t>69,80</t>
  </si>
  <si>
    <t>92,5</t>
  </si>
  <si>
    <t>Гаврилова Ольга</t>
  </si>
  <si>
    <t>Masters 55-59 (29.04.1960)/55</t>
  </si>
  <si>
    <t>88,70</t>
  </si>
  <si>
    <t>ВЕСОВАЯ КАТЕГОРИЯ   90+</t>
  </si>
  <si>
    <t>Open (30.04.1977)/38</t>
  </si>
  <si>
    <t>Никитинский Иван</t>
  </si>
  <si>
    <t>Teenage 15-19 (07.07.2005)/10</t>
  </si>
  <si>
    <t>38,90</t>
  </si>
  <si>
    <t xml:space="preserve">Тихвин/Ленинградская область </t>
  </si>
  <si>
    <t>22,5</t>
  </si>
  <si>
    <t>25,0</t>
  </si>
  <si>
    <t>Juniors 20-23 (21.05.1992)/23</t>
  </si>
  <si>
    <t>48,90</t>
  </si>
  <si>
    <t xml:space="preserve">Ставрополь/Ставропольский край </t>
  </si>
  <si>
    <t>Open (03.09.1986)/29</t>
  </si>
  <si>
    <t>50,60</t>
  </si>
  <si>
    <t xml:space="preserve">Пущино/Московская область </t>
  </si>
  <si>
    <t>82,5</t>
  </si>
  <si>
    <t>Teenage 15-19 (08.06.2002)/13</t>
  </si>
  <si>
    <t>57,60</t>
  </si>
  <si>
    <t xml:space="preserve">Долгопрудный/Московская област </t>
  </si>
  <si>
    <t>Open (15.08.1989)/26</t>
  </si>
  <si>
    <t>Teenage 15-19 (24.05.2000)/15</t>
  </si>
  <si>
    <t>64,20</t>
  </si>
  <si>
    <t>Open (30.10.1969)/46</t>
  </si>
  <si>
    <t>66,00</t>
  </si>
  <si>
    <t xml:space="preserve">Ясногорск/Тульская область </t>
  </si>
  <si>
    <t>Open (10.05.1988)/27</t>
  </si>
  <si>
    <t xml:space="preserve">Нижний Новгород/Нижегородская </t>
  </si>
  <si>
    <t>Карпов Евгений</t>
  </si>
  <si>
    <t>Open (26.10.1979)/36</t>
  </si>
  <si>
    <t>66,70</t>
  </si>
  <si>
    <t>117,5</t>
  </si>
  <si>
    <t>Open (10.09.1986)/29</t>
  </si>
  <si>
    <t>65,50</t>
  </si>
  <si>
    <t>Masters 45-49 (30.10.1969)/46</t>
  </si>
  <si>
    <t>Обухов Николай</t>
  </si>
  <si>
    <t>Masters 60-64 (02.04.1953)/63</t>
  </si>
  <si>
    <t>Мустафин Сергей</t>
  </si>
  <si>
    <t>Teenage 15-19 (12.04.1997)/19</t>
  </si>
  <si>
    <t>Teenage 15-19 (22.05.1999)/16</t>
  </si>
  <si>
    <t>73,00</t>
  </si>
  <si>
    <t>Пшегодский Сергей</t>
  </si>
  <si>
    <t>Teenage 15-19 (03.07.1997)/18</t>
  </si>
  <si>
    <t>73,40</t>
  </si>
  <si>
    <t>Холодков Кирилл</t>
  </si>
  <si>
    <t>Teenage 15-19 (26.05.1998)/17</t>
  </si>
  <si>
    <t>74,50</t>
  </si>
  <si>
    <t>112,5</t>
  </si>
  <si>
    <t>Чугуров Сергей</t>
  </si>
  <si>
    <t>Juniors 20-23 (22.06.1993)/22</t>
  </si>
  <si>
    <t>Juniors 20-23 (31.10.1993)/22</t>
  </si>
  <si>
    <t>69,20</t>
  </si>
  <si>
    <t>Juniors 20-23 (17.08.1995)/20</t>
  </si>
  <si>
    <t>72,80</t>
  </si>
  <si>
    <t>135,0</t>
  </si>
  <si>
    <t>Open (06.12.1985)/30</t>
  </si>
  <si>
    <t>74,90</t>
  </si>
  <si>
    <t xml:space="preserve">Кострома/Костромская область </t>
  </si>
  <si>
    <t>172,5</t>
  </si>
  <si>
    <t>Open (09.04.1989)/27</t>
  </si>
  <si>
    <t xml:space="preserve">Мерешков М </t>
  </si>
  <si>
    <t>Open (22.06.1993)/22</t>
  </si>
  <si>
    <t>Open (21.05.1988)/27</t>
  </si>
  <si>
    <t>Open (01.07.1982)/33</t>
  </si>
  <si>
    <t>74,60</t>
  </si>
  <si>
    <t>Open (09.02.1988)/28</t>
  </si>
  <si>
    <t>Open (14.03.1989)/27</t>
  </si>
  <si>
    <t>70,70</t>
  </si>
  <si>
    <t>Open (28.09.1987)/28</t>
  </si>
  <si>
    <t>Open (28.08.1982)/33</t>
  </si>
  <si>
    <t>73,10</t>
  </si>
  <si>
    <t>Нагорных Иван</t>
  </si>
  <si>
    <t>Open (16.03.1983)/33</t>
  </si>
  <si>
    <t xml:space="preserve">Одинцово/Московская область </t>
  </si>
  <si>
    <t>Masters 40-44 (10.02.1973)/43</t>
  </si>
  <si>
    <t>73,20</t>
  </si>
  <si>
    <t xml:space="preserve">Петрозаводск/Карелия </t>
  </si>
  <si>
    <t>Вдовин Андрей</t>
  </si>
  <si>
    <t>Teenage 15-19 (13.12.1998)/17</t>
  </si>
  <si>
    <t>Teenage 15-19 (02.02.1998)/18</t>
  </si>
  <si>
    <t>82,50</t>
  </si>
  <si>
    <t>Прокопенко Евгений</t>
  </si>
  <si>
    <t>Teenage 15-19 (05.08.2001)/14</t>
  </si>
  <si>
    <t>78,90</t>
  </si>
  <si>
    <t>Teenage 15-19 (22.06.1998)/17</t>
  </si>
  <si>
    <t>76,30</t>
  </si>
  <si>
    <t>Дёжин Андрей</t>
  </si>
  <si>
    <t>Juniors 20-23 (30.07.1992)/23</t>
  </si>
  <si>
    <t>81,60</t>
  </si>
  <si>
    <t>Киселев Михаил</t>
  </si>
  <si>
    <t>Juniors 20-23 (20.12.1992)/23</t>
  </si>
  <si>
    <t>81,30</t>
  </si>
  <si>
    <t xml:space="preserve">Домодедово/Московская область </t>
  </si>
  <si>
    <t>Juniors 20-23 (19.01.1996)/20</t>
  </si>
  <si>
    <t>78,30</t>
  </si>
  <si>
    <t>Панкратов Илья</t>
  </si>
  <si>
    <t>Open (09.12.1986)/29</t>
  </si>
  <si>
    <t>80,00</t>
  </si>
  <si>
    <t>Open (07.08.1988)/27</t>
  </si>
  <si>
    <t>Open (18.03.1983)/33</t>
  </si>
  <si>
    <t>79,40</t>
  </si>
  <si>
    <t>137,5</t>
  </si>
  <si>
    <t>Open (06.05.1985)/30</t>
  </si>
  <si>
    <t>77,40</t>
  </si>
  <si>
    <t>Open (08.02.1985)/31</t>
  </si>
  <si>
    <t>80,70</t>
  </si>
  <si>
    <t xml:space="preserve">Химки/Московская область </t>
  </si>
  <si>
    <t>Open (19.10.1986)/29</t>
  </si>
  <si>
    <t>76,00</t>
  </si>
  <si>
    <t>Погосов Левон</t>
  </si>
  <si>
    <t>Open (12.06.1982)/33</t>
  </si>
  <si>
    <t>Фадеев Виктор</t>
  </si>
  <si>
    <t>Open (06.08.1975)/40</t>
  </si>
  <si>
    <t>80,60</t>
  </si>
  <si>
    <t>Татаренков Роман</t>
  </si>
  <si>
    <t>Open (07.08.1980)/35</t>
  </si>
  <si>
    <t>82,10</t>
  </si>
  <si>
    <t>Masters 40-44 (06.08.1975)/40</t>
  </si>
  <si>
    <t>Masters 50-54 (06.07.1965)/50</t>
  </si>
  <si>
    <t>75,40</t>
  </si>
  <si>
    <t>Овсяный Виктор</t>
  </si>
  <si>
    <t>Masters 55-59 (19.04.1958)/58</t>
  </si>
  <si>
    <t>Барабанов Герман</t>
  </si>
  <si>
    <t>Masters 75-79 (28.01.1940)/76</t>
  </si>
  <si>
    <t xml:space="preserve">Кимры/Тверская область </t>
  </si>
  <si>
    <t>Daneshvar Mohammedhasan</t>
  </si>
  <si>
    <t>Masters 75-79 (27.08.1937)/78</t>
  </si>
  <si>
    <t>Филькин Егор</t>
  </si>
  <si>
    <t>Teenage 15-19 (02.07.2001)/14</t>
  </si>
  <si>
    <t>84,90</t>
  </si>
  <si>
    <t>Самусенков Иван</t>
  </si>
  <si>
    <t>Juniors 20-23 (22.03.1993)/23</t>
  </si>
  <si>
    <t>87,20</t>
  </si>
  <si>
    <t>Juniors 20-23 (16.01.1993)/23</t>
  </si>
  <si>
    <t>87,70</t>
  </si>
  <si>
    <t xml:space="preserve">Пивоваров </t>
  </si>
  <si>
    <t>Open (21.03.1981)/35</t>
  </si>
  <si>
    <t>89,50</t>
  </si>
  <si>
    <t>187,5</t>
  </si>
  <si>
    <t>Кончаков Владимир</t>
  </si>
  <si>
    <t>Open (25.05.1973)/42</t>
  </si>
  <si>
    <t>88,30</t>
  </si>
  <si>
    <t>Open (30.12.1974)/41</t>
  </si>
  <si>
    <t>88,20</t>
  </si>
  <si>
    <t>Open (09.03.1992)/24</t>
  </si>
  <si>
    <t>89,70</t>
  </si>
  <si>
    <t>Open (15.06.1984)/31</t>
  </si>
  <si>
    <t>Open (08.12.1986)/29</t>
  </si>
  <si>
    <t>88,50</t>
  </si>
  <si>
    <t>Open (30.05.1991)/24</t>
  </si>
  <si>
    <t>85,50</t>
  </si>
  <si>
    <t>Masters 40-44 (25.05.1973)/42</t>
  </si>
  <si>
    <t>Masters 40-44 (30.12.1974)/41</t>
  </si>
  <si>
    <t>Masters 45-49 (18.02.1967)/49</t>
  </si>
  <si>
    <t>88,60</t>
  </si>
  <si>
    <t>Masters 45-49 (22.07.1970)/45</t>
  </si>
  <si>
    <t>88,40</t>
  </si>
  <si>
    <t>Чернышов Игорь</t>
  </si>
  <si>
    <t>Masters 45-49 (14.07.1969)/46</t>
  </si>
  <si>
    <t>89,00</t>
  </si>
  <si>
    <t>Козлов Владимир</t>
  </si>
  <si>
    <t>Masters 60-64 (15.06.1954)/61</t>
  </si>
  <si>
    <t>86,00</t>
  </si>
  <si>
    <t xml:space="preserve">Череповец/Вологодская область </t>
  </si>
  <si>
    <t>Teenage 15-19 (23.04.1999)/16</t>
  </si>
  <si>
    <t>93,90</t>
  </si>
  <si>
    <t>Скворцов Михаил</t>
  </si>
  <si>
    <t>Teenage 15-19 (01.04.2000)/16</t>
  </si>
  <si>
    <t>93,60</t>
  </si>
  <si>
    <t>77,5</t>
  </si>
  <si>
    <t>Володин Кирилл</t>
  </si>
  <si>
    <t>Juniors 20-23 (15.05.1992)/23</t>
  </si>
  <si>
    <t>94,00</t>
  </si>
  <si>
    <t>Хамхоев Ибрагим</t>
  </si>
  <si>
    <t>Open (25.02.1985)/31</t>
  </si>
  <si>
    <t>Open (01.02.1972)/44</t>
  </si>
  <si>
    <t>93,10</t>
  </si>
  <si>
    <t xml:space="preserve">Сербин </t>
  </si>
  <si>
    <t>Open (29.11.1989)/26</t>
  </si>
  <si>
    <t>97,70</t>
  </si>
  <si>
    <t xml:space="preserve">Орехово-Зуево/Московская облас </t>
  </si>
  <si>
    <t>Open (01.05.1979)/36</t>
  </si>
  <si>
    <t>96,60</t>
  </si>
  <si>
    <t>Open (06.05.1983)/32</t>
  </si>
  <si>
    <t>98,90</t>
  </si>
  <si>
    <t xml:space="preserve">Жуковский/Московская область </t>
  </si>
  <si>
    <t>Open (05.11.1984)/31</t>
  </si>
  <si>
    <t>94,90</t>
  </si>
  <si>
    <t>Снетков Александр</t>
  </si>
  <si>
    <t>Open (24.01.1987)/29</t>
  </si>
  <si>
    <t>99,90</t>
  </si>
  <si>
    <t xml:space="preserve">Химки </t>
  </si>
  <si>
    <t>Masters 40-44 (01.02.1972)/44</t>
  </si>
  <si>
    <t>Masters 40-44 (30.07.1974)/41</t>
  </si>
  <si>
    <t>92,40</t>
  </si>
  <si>
    <t xml:space="preserve">Дзержинский/Московская область </t>
  </si>
  <si>
    <t>Masters 40-44 (10.04.1974)/42</t>
  </si>
  <si>
    <t>97,20</t>
  </si>
  <si>
    <t>Казанцев Иван</t>
  </si>
  <si>
    <t>Masters 45-49 (29.09.1967)/48</t>
  </si>
  <si>
    <t xml:space="preserve">Камышлов/Свердловская область </t>
  </si>
  <si>
    <t>Masters 45-49 (19.04.1970)/46</t>
  </si>
  <si>
    <t>Masters 50-54 (18.05.1961)/54</t>
  </si>
  <si>
    <t>96,70</t>
  </si>
  <si>
    <t>Mehrdad Gholamreza</t>
  </si>
  <si>
    <t>Masters 50-54 (22.06.1964)/51</t>
  </si>
  <si>
    <t>95,40</t>
  </si>
  <si>
    <t>Стёпышев Алексей</t>
  </si>
  <si>
    <t>Masters 50-54 (10.05.1963)/52</t>
  </si>
  <si>
    <t xml:space="preserve">Мончегорск/Мурманская область </t>
  </si>
  <si>
    <t>Masters 50-54 (29.11.1963)/52</t>
  </si>
  <si>
    <t>99,50</t>
  </si>
  <si>
    <t>Open (12.11.1981)/34</t>
  </si>
  <si>
    <t>104,50</t>
  </si>
  <si>
    <t>Open (13.03.1983)/33</t>
  </si>
  <si>
    <t>103,90</t>
  </si>
  <si>
    <t>Open (01.10.1986)/29</t>
  </si>
  <si>
    <t>103,40</t>
  </si>
  <si>
    <t>Open (21.04.1977)/39</t>
  </si>
  <si>
    <t>104,90</t>
  </si>
  <si>
    <t>Open (25.06.1988)/27</t>
  </si>
  <si>
    <t>109,30</t>
  </si>
  <si>
    <t xml:space="preserve">Мытищи/Московская область </t>
  </si>
  <si>
    <t>Open (27.08.1987)/28</t>
  </si>
  <si>
    <t>Open (05.06.1981)/34</t>
  </si>
  <si>
    <t>102,70</t>
  </si>
  <si>
    <t>Masters 45-49 (09.02.1967)/49</t>
  </si>
  <si>
    <t>106,30</t>
  </si>
  <si>
    <t>Masters 50-54 (29.03.1963)/53</t>
  </si>
  <si>
    <t>106,90</t>
  </si>
  <si>
    <t>Masters 60-64 (23.01.1956)/60</t>
  </si>
  <si>
    <t xml:space="preserve">Кривошляпин А. </t>
  </si>
  <si>
    <t>Петров Андрей</t>
  </si>
  <si>
    <t>Open (30.09.1981)/34</t>
  </si>
  <si>
    <t>117,50</t>
  </si>
  <si>
    <t>Open (12.12.1977)/38</t>
  </si>
  <si>
    <t>120,60</t>
  </si>
  <si>
    <t>Open (28.02.1991)/25</t>
  </si>
  <si>
    <t>120,40</t>
  </si>
  <si>
    <t>Open (28.04.1988)/27</t>
  </si>
  <si>
    <t>112,50</t>
  </si>
  <si>
    <t>Хазиев Эргаш</t>
  </si>
  <si>
    <t>Open (26.03.1991)/25</t>
  </si>
  <si>
    <t>113,00</t>
  </si>
  <si>
    <t>Регулярный Иван</t>
  </si>
  <si>
    <t>Open (27.11.1984)/31</t>
  </si>
  <si>
    <t>116,90</t>
  </si>
  <si>
    <t xml:space="preserve">Регулярный И. </t>
  </si>
  <si>
    <t>Open (31.12.1983)/32</t>
  </si>
  <si>
    <t>122,40</t>
  </si>
  <si>
    <t>Чубаров Владимир</t>
  </si>
  <si>
    <t>Masters 50-54 (03.04.1964)/52</t>
  </si>
  <si>
    <t>119,20</t>
  </si>
  <si>
    <t>Попов Владимир</t>
  </si>
  <si>
    <t>Masters 60-64 (26.02.1956)/60</t>
  </si>
  <si>
    <t>123,70</t>
  </si>
  <si>
    <t>Open (24.01.1989)/27</t>
  </si>
  <si>
    <t>131,00</t>
  </si>
  <si>
    <t>Open (20.11.1984)/31</t>
  </si>
  <si>
    <t>130,00</t>
  </si>
  <si>
    <t>Open (03.10.1977)/38</t>
  </si>
  <si>
    <t>136,20</t>
  </si>
  <si>
    <t>Masters 45-49 (20.09.1970)/45</t>
  </si>
  <si>
    <t>135,50</t>
  </si>
  <si>
    <t xml:space="preserve">Королёв/Московская область </t>
  </si>
  <si>
    <t>Open (06.06.1982)/33</t>
  </si>
  <si>
    <t>150,00</t>
  </si>
  <si>
    <t xml:space="preserve">60 </t>
  </si>
  <si>
    <t>112,9500</t>
  </si>
  <si>
    <t>75,8170</t>
  </si>
  <si>
    <t>51,2295</t>
  </si>
  <si>
    <t>112,3605</t>
  </si>
  <si>
    <t xml:space="preserve">48 </t>
  </si>
  <si>
    <t>94,2900</t>
  </si>
  <si>
    <t xml:space="preserve">90+ </t>
  </si>
  <si>
    <t>64,8476</t>
  </si>
  <si>
    <t xml:space="preserve">Мастера 55 - 59 </t>
  </si>
  <si>
    <t>62,4881</t>
  </si>
  <si>
    <t>55,1632</t>
  </si>
  <si>
    <t>98,3825</t>
  </si>
  <si>
    <t>84,6823</t>
  </si>
  <si>
    <t>48,5382</t>
  </si>
  <si>
    <t>116,8380</t>
  </si>
  <si>
    <t>112,7543</t>
  </si>
  <si>
    <t>110,9375</t>
  </si>
  <si>
    <t>133,1265</t>
  </si>
  <si>
    <t>131,3865</t>
  </si>
  <si>
    <t>170,3747</t>
  </si>
  <si>
    <t>130,0395</t>
  </si>
  <si>
    <t>124,2079</t>
  </si>
  <si>
    <t>Open (19.09.1987)/28</t>
  </si>
  <si>
    <t>58,80</t>
  </si>
  <si>
    <t>Мирмиране Виже</t>
  </si>
  <si>
    <t>Masters 50-54 (14.04.1965)/51</t>
  </si>
  <si>
    <t>Архипов Илья</t>
  </si>
  <si>
    <t>Open (31.03.1984)/32</t>
  </si>
  <si>
    <t>80,30</t>
  </si>
  <si>
    <t>Николаев Сергей</t>
  </si>
  <si>
    <t>Open (03.05.1979)/36</t>
  </si>
  <si>
    <t>Кровиков Александр</t>
  </si>
  <si>
    <t>Open (26.09.1961)/54</t>
  </si>
  <si>
    <t>97,00</t>
  </si>
  <si>
    <t>500,0</t>
  </si>
  <si>
    <t>515,0</t>
  </si>
  <si>
    <t>420,0</t>
  </si>
  <si>
    <t>Медведева Юлия</t>
  </si>
  <si>
    <t>Open (08.07.1979)/36</t>
  </si>
  <si>
    <t>75,00</t>
  </si>
  <si>
    <t>Зайцева Екатерина</t>
  </si>
  <si>
    <t>Open (12.02.1987)/29</t>
  </si>
  <si>
    <t>74,00</t>
  </si>
  <si>
    <t>Сибалакова Екатерина</t>
  </si>
  <si>
    <t>Open (17.09.1988)/27</t>
  </si>
  <si>
    <t>74,30</t>
  </si>
  <si>
    <t>147,5</t>
  </si>
  <si>
    <t>Open (12.12.1975)/40</t>
  </si>
  <si>
    <t>85,00</t>
  </si>
  <si>
    <t>Open (17.09.1989)/26</t>
  </si>
  <si>
    <t xml:space="preserve">Рязань/Рязанская область </t>
  </si>
  <si>
    <t>81,50</t>
  </si>
  <si>
    <t xml:space="preserve">Переславль-Залесский/Ярославская область </t>
  </si>
  <si>
    <t>212,5</t>
  </si>
  <si>
    <t>Open (30.03.1991)/25</t>
  </si>
  <si>
    <t>235,5</t>
  </si>
  <si>
    <t xml:space="preserve">Чепорнов </t>
  </si>
  <si>
    <t>Open (17.07.1986)/29</t>
  </si>
  <si>
    <t>Open (04.09.1991)/24</t>
  </si>
  <si>
    <t>89,40</t>
  </si>
  <si>
    <t>Open (04.08.1979)/36</t>
  </si>
  <si>
    <t>236,0</t>
  </si>
  <si>
    <t>Попов Сергей</t>
  </si>
  <si>
    <t>Masters 40-44 (31.05.1974)/41</t>
  </si>
  <si>
    <t xml:space="preserve">Астрахань/Астраханская область </t>
  </si>
  <si>
    <t>237,5</t>
  </si>
  <si>
    <t>Шкудас Владислав</t>
  </si>
  <si>
    <t>Open (30.03.1989)/27</t>
  </si>
  <si>
    <t>99,60</t>
  </si>
  <si>
    <t>305,0</t>
  </si>
  <si>
    <t>315,0</t>
  </si>
  <si>
    <t>320,0</t>
  </si>
  <si>
    <t>98,40</t>
  </si>
  <si>
    <t>Градин Сергей</t>
  </si>
  <si>
    <t>Open (28.04.1979)/36</t>
  </si>
  <si>
    <t xml:space="preserve">Ярославль/Ярославская область </t>
  </si>
  <si>
    <t>Якушевич Алексей</t>
  </si>
  <si>
    <t>Open (02.07.1991)/24</t>
  </si>
  <si>
    <t>Open (02.04.1987)/29</t>
  </si>
  <si>
    <t>101,60</t>
  </si>
  <si>
    <t>260,0</t>
  </si>
  <si>
    <t>275,0</t>
  </si>
  <si>
    <t>285,0</t>
  </si>
  <si>
    <t>Open (25.12.1978)/37</t>
  </si>
  <si>
    <t>107,10</t>
  </si>
  <si>
    <t>267,5</t>
  </si>
  <si>
    <t>277,5</t>
  </si>
  <si>
    <t>Каява Кирилл</t>
  </si>
  <si>
    <t>Open (24.06.1976)/39</t>
  </si>
  <si>
    <t>138,00</t>
  </si>
  <si>
    <t>325,0</t>
  </si>
  <si>
    <t>332,5</t>
  </si>
  <si>
    <t>Бубнов Дмитрий</t>
  </si>
  <si>
    <t>Open (14.10.1973)/42</t>
  </si>
  <si>
    <t xml:space="preserve">Красноярск/Красноярский край </t>
  </si>
  <si>
    <t>300,0</t>
  </si>
  <si>
    <t>312,5</t>
  </si>
  <si>
    <t>Шабалин Дмитрий</t>
  </si>
  <si>
    <t>Open (19.01.1969)/47</t>
  </si>
  <si>
    <t>134,10</t>
  </si>
  <si>
    <t>Masters 40-44 (14.10.1973)/42</t>
  </si>
  <si>
    <t>Masters 45-49 (19.01.1969)/47</t>
  </si>
  <si>
    <t>Open (30.04.1986)/29</t>
  </si>
  <si>
    <t>162,70</t>
  </si>
  <si>
    <t>310,0</t>
  </si>
  <si>
    <t>180,6140</t>
  </si>
  <si>
    <t>153,3920</t>
  </si>
  <si>
    <t>148,2265</t>
  </si>
  <si>
    <t>192,0240</t>
  </si>
  <si>
    <t>182,0000</t>
  </si>
  <si>
    <t>177,6250</t>
  </si>
  <si>
    <t>128,2000</t>
  </si>
  <si>
    <t>188,0659</t>
  </si>
  <si>
    <t>180,1118</t>
  </si>
  <si>
    <t>149,4272</t>
  </si>
  <si>
    <t xml:space="preserve">Дубна/Московская область </t>
  </si>
  <si>
    <t>Open (25.02.1983)/33</t>
  </si>
  <si>
    <t xml:space="preserve">Серпухов </t>
  </si>
  <si>
    <t>245,0</t>
  </si>
  <si>
    <t>255,0</t>
  </si>
  <si>
    <t>Пряхин Станислав</t>
  </si>
  <si>
    <t>Masters 40-44 (18.03.1975)/41</t>
  </si>
  <si>
    <t xml:space="preserve">Электросталь/Московская область </t>
  </si>
  <si>
    <t>272,5</t>
  </si>
  <si>
    <t>183,0</t>
  </si>
  <si>
    <t>278,0</t>
  </si>
  <si>
    <t>Уразов Владимир</t>
  </si>
  <si>
    <t>Masters 45-49 (21.10.1967)/48</t>
  </si>
  <si>
    <t xml:space="preserve">Буй/Костромская область </t>
  </si>
  <si>
    <t>84,70</t>
  </si>
  <si>
    <t>Teenage 15-19 (27.07.1996)/19</t>
  </si>
  <si>
    <t>97,90</t>
  </si>
  <si>
    <t>237,0</t>
  </si>
  <si>
    <t>Open (07.02.1991)/25</t>
  </si>
  <si>
    <t>350,0</t>
  </si>
  <si>
    <t>360,0</t>
  </si>
  <si>
    <t>290,0</t>
  </si>
  <si>
    <t>307,5</t>
  </si>
  <si>
    <t>Белкин Юрий</t>
  </si>
  <si>
    <t>Open (05.12.1990)/25</t>
  </si>
  <si>
    <t xml:space="preserve">Хабаровск/Хабаровский край </t>
  </si>
  <si>
    <t>390,0</t>
  </si>
  <si>
    <t>405,5</t>
  </si>
  <si>
    <t>418,0</t>
  </si>
  <si>
    <t>Каширин Алексей</t>
  </si>
  <si>
    <t>Open (09.10.1973)/42</t>
  </si>
  <si>
    <t>375,0</t>
  </si>
  <si>
    <t>380,0</t>
  </si>
  <si>
    <t>280,0</t>
  </si>
  <si>
    <t>330,0</t>
  </si>
  <si>
    <t>345,0</t>
  </si>
  <si>
    <t>357,5</t>
  </si>
  <si>
    <t>Мураткин Александр</t>
  </si>
  <si>
    <t>Open (29.08.1985)/30</t>
  </si>
  <si>
    <t>109,00</t>
  </si>
  <si>
    <t>340,0</t>
  </si>
  <si>
    <t>Дергунов Владимир</t>
  </si>
  <si>
    <t>Open (09.03.1991)/25</t>
  </si>
  <si>
    <t>365,0</t>
  </si>
  <si>
    <t>342,5</t>
  </si>
  <si>
    <t>Курков Алексей</t>
  </si>
  <si>
    <t>Masters 40-44 (29.03.1976)/40</t>
  </si>
  <si>
    <t>Емцев Николай</t>
  </si>
  <si>
    <t>Masters 45-49 (23.05.1967)/48</t>
  </si>
  <si>
    <t>103,50</t>
  </si>
  <si>
    <t xml:space="preserve">Кувшиново/Тверская область </t>
  </si>
  <si>
    <t>262,5</t>
  </si>
  <si>
    <t>Логинов Дмитрий</t>
  </si>
  <si>
    <t>Open (12.05.1989)/26</t>
  </si>
  <si>
    <t>117,00</t>
  </si>
  <si>
    <t>1115,5</t>
  </si>
  <si>
    <t>675,4352</t>
  </si>
  <si>
    <t>997,5</t>
  </si>
  <si>
    <t>588,2257</t>
  </si>
  <si>
    <t>965,0</t>
  </si>
  <si>
    <t>558,2525</t>
  </si>
  <si>
    <t>705,0</t>
  </si>
  <si>
    <t>451,9050</t>
  </si>
  <si>
    <t>695,5</t>
  </si>
  <si>
    <t>474,2562</t>
  </si>
  <si>
    <t>687,5</t>
  </si>
  <si>
    <t>459,9845</t>
  </si>
  <si>
    <t>700,0</t>
  </si>
  <si>
    <t>418,4600</t>
  </si>
  <si>
    <t>Малецкая Светлана</t>
  </si>
  <si>
    <t>Open (04.06.1983)/32</t>
  </si>
  <si>
    <t>59,40</t>
  </si>
  <si>
    <t>Open (31.12.1990)/25</t>
  </si>
  <si>
    <t>Open (15.11.1984)/31</t>
  </si>
  <si>
    <t>72,40</t>
  </si>
  <si>
    <t>Быховец Артем</t>
  </si>
  <si>
    <t>Open (19.07.1983)/32</t>
  </si>
  <si>
    <t>82,30</t>
  </si>
  <si>
    <t xml:space="preserve">Новосибирск/Новосибирская область </t>
  </si>
  <si>
    <t>Open (11.05.1979)/36</t>
  </si>
  <si>
    <t>85,40</t>
  </si>
  <si>
    <t xml:space="preserve">Курочкин С. </t>
  </si>
  <si>
    <t>Мохов Сергей</t>
  </si>
  <si>
    <t>Open (17.02.1990)/26</t>
  </si>
  <si>
    <t>87,00</t>
  </si>
  <si>
    <t>Open (20.05.1974)/41</t>
  </si>
  <si>
    <t>100,00</t>
  </si>
  <si>
    <t xml:space="preserve">Реутов/Московская область </t>
  </si>
  <si>
    <t>Masters 40-44 (20.05.1974)/41</t>
  </si>
  <si>
    <t>Крыжановский Константин</t>
  </si>
  <si>
    <t>Open (14.03.1975)/41</t>
  </si>
  <si>
    <t>Masters 40-44 (14.03.1975)/41</t>
  </si>
  <si>
    <t>Абдюшев Эдуард</t>
  </si>
  <si>
    <t>Masters 60-64 (02.03.1955)/61</t>
  </si>
  <si>
    <t>106,40</t>
  </si>
  <si>
    <t>149,8927</t>
  </si>
  <si>
    <t>148,0250</t>
  </si>
  <si>
    <t>165,6369</t>
  </si>
  <si>
    <t>153,6830</t>
  </si>
  <si>
    <t>151,9912</t>
  </si>
  <si>
    <t>Кузнецова Оксана</t>
  </si>
  <si>
    <t>Open (07.07.1990)/25</t>
  </si>
  <si>
    <t>51,20</t>
  </si>
  <si>
    <t>Чернобаева Лариса</t>
  </si>
  <si>
    <t>Open (22.12.1980)/35</t>
  </si>
  <si>
    <t>Филиппова Александра</t>
  </si>
  <si>
    <t>Open (07.01.1986)/30</t>
  </si>
  <si>
    <t>67,10</t>
  </si>
  <si>
    <t>Дурнов Роман</t>
  </si>
  <si>
    <t>80,40</t>
  </si>
  <si>
    <t>295,0</t>
  </si>
  <si>
    <t>242,5</t>
  </si>
  <si>
    <t>265,0</t>
  </si>
  <si>
    <t>Ахметов Тимур</t>
  </si>
  <si>
    <t>Open (17.11.1986)/29</t>
  </si>
  <si>
    <t>95,20</t>
  </si>
  <si>
    <t>Томилин Максим</t>
  </si>
  <si>
    <t>Masters 50-54 (25.03.1965)/51</t>
  </si>
  <si>
    <t>106,60</t>
  </si>
  <si>
    <t xml:space="preserve">Курск/Курская область </t>
  </si>
  <si>
    <t>Извеков Андрей</t>
  </si>
  <si>
    <t>122,20</t>
  </si>
  <si>
    <t>Open (26.12.1986)/29</t>
  </si>
  <si>
    <t>Мамедов Эмин</t>
  </si>
  <si>
    <t>Open (31.08.1974)/41</t>
  </si>
  <si>
    <t>Masters 40-44 (31.08.1974)/41</t>
  </si>
  <si>
    <t>Палей Андрей</t>
  </si>
  <si>
    <t>Open (11.10.1961)/54</t>
  </si>
  <si>
    <t xml:space="preserve">Магнитогорск/Челябинская область </t>
  </si>
  <si>
    <t>Masters 50-54 (11.10.1961)/54</t>
  </si>
  <si>
    <t>Лебедев Александр</t>
  </si>
  <si>
    <t>Open (15.08.1980)/35</t>
  </si>
  <si>
    <t xml:space="preserve">Балахна/Нижегородская область </t>
  </si>
  <si>
    <t>228,4125</t>
  </si>
  <si>
    <t>178,6800</t>
  </si>
  <si>
    <t>151,2420</t>
  </si>
  <si>
    <t>Open (26.07.1982)/33</t>
  </si>
  <si>
    <t>Прокопышина Елена</t>
  </si>
  <si>
    <t>Masters 50-54 (07.12.1963)/52</t>
  </si>
  <si>
    <t>Дога Виктория</t>
  </si>
  <si>
    <t>Open (04.09.1982)/33</t>
  </si>
  <si>
    <t>Ломова Оксана</t>
  </si>
  <si>
    <t>Open (19.08.1983)/32</t>
  </si>
  <si>
    <t xml:space="preserve">Видное/Московская область </t>
  </si>
  <si>
    <t>Копаев Виктор</t>
  </si>
  <si>
    <t>Open (02.02.1990)/26</t>
  </si>
  <si>
    <t xml:space="preserve">Дедовск/Московская область </t>
  </si>
  <si>
    <t xml:space="preserve">Непряхин А. </t>
  </si>
  <si>
    <t>Open (22.12.1985)/30</t>
  </si>
  <si>
    <t>302,5</t>
  </si>
  <si>
    <t>Open (31.05.1995)/20</t>
  </si>
  <si>
    <t>Open (09.09.1985)/30</t>
  </si>
  <si>
    <t xml:space="preserve">Первомайск/Нижегородская область </t>
  </si>
  <si>
    <t>Open (04.02.1991)/25</t>
  </si>
  <si>
    <t xml:space="preserve">Михайловка/Волгоградская облас </t>
  </si>
  <si>
    <t>Open (08.01.1987)/29</t>
  </si>
  <si>
    <t>Open (10.07.1984)/31</t>
  </si>
  <si>
    <t>Бельцов Артур</t>
  </si>
  <si>
    <t>Open (04.03.1982)/34</t>
  </si>
  <si>
    <t>Juniors 20-23 (11.05.1992)/23</t>
  </si>
  <si>
    <t>Чухнов Павел</t>
  </si>
  <si>
    <t>Open (05.03.1989)/27</t>
  </si>
  <si>
    <t xml:space="preserve">Михайловка/Волгоградская область </t>
  </si>
  <si>
    <t>282,5</t>
  </si>
  <si>
    <t>Open (15.04.1981)/35</t>
  </si>
  <si>
    <t>292,5</t>
  </si>
  <si>
    <t>Ивачев Александр</t>
  </si>
  <si>
    <t>Open (10.04.1984)/32</t>
  </si>
  <si>
    <t>Open (08.03.1983)/33</t>
  </si>
  <si>
    <t>Open (30.10.1971)/44</t>
  </si>
  <si>
    <t>Open (19.11.1986)/29</t>
  </si>
  <si>
    <t>Ермолаев Павел</t>
  </si>
  <si>
    <t>Open (17.01.1991)/25</t>
  </si>
  <si>
    <t>Бобров Виталий</t>
  </si>
  <si>
    <t>Open (30.07.1981)/34</t>
  </si>
  <si>
    <t>Masters 40-44 (30.10.1971)/44</t>
  </si>
  <si>
    <t>Секов Михаил</t>
  </si>
  <si>
    <t>Open (01.09.1986)/29</t>
  </si>
  <si>
    <t>Open (05.08.1993)/22</t>
  </si>
  <si>
    <t>410,0</t>
  </si>
  <si>
    <t>392,7390</t>
  </si>
  <si>
    <t>392,4110</t>
  </si>
  <si>
    <t>742,5</t>
  </si>
  <si>
    <t>460,7955</t>
  </si>
  <si>
    <t>670,0</t>
  </si>
  <si>
    <t>495,0</t>
  </si>
  <si>
    <t>317,9880</t>
  </si>
  <si>
    <t>402,5</t>
  </si>
  <si>
    <t>Open (09.11.1978)/37</t>
  </si>
  <si>
    <t>Open (04.03.1988)/28</t>
  </si>
  <si>
    <t>Тюленева Вероника</t>
  </si>
  <si>
    <t>Juniors 20-23 (25.11.1992)/23</t>
  </si>
  <si>
    <t>Синицына Евгения</t>
  </si>
  <si>
    <t>Juniors 20-23 (16.12.1995)/20</t>
  </si>
  <si>
    <t>Кончакова Наталья</t>
  </si>
  <si>
    <t>Open (14.08.1977)/38</t>
  </si>
  <si>
    <t>Open (06.08.1983)/32</t>
  </si>
  <si>
    <t>Open (15.11.1976)/39</t>
  </si>
  <si>
    <t>Teenage 15-19 (03.02.1999)/17</t>
  </si>
  <si>
    <t>Охапкина Светлана</t>
  </si>
  <si>
    <t>Open (25.02.1977)/39</t>
  </si>
  <si>
    <t>Соломатина Анна</t>
  </si>
  <si>
    <t>Juniors 20-23 (25.06.1992)/23</t>
  </si>
  <si>
    <t>Костина Екатерина</t>
  </si>
  <si>
    <t>Open (30.04.1989)/26</t>
  </si>
  <si>
    <t>Masters 45-49 (11.05.1969)/46</t>
  </si>
  <si>
    <t xml:space="preserve">Липецк/Липецкая область </t>
  </si>
  <si>
    <t>Грачев Николай</t>
  </si>
  <si>
    <t>Masters 60-64 (16.04.1956)/60</t>
  </si>
  <si>
    <t>76,0</t>
  </si>
  <si>
    <t>136,0</t>
  </si>
  <si>
    <t>Open (14.06.1991)/24</t>
  </si>
  <si>
    <t>Шефф Павел</t>
  </si>
  <si>
    <t>Juniors 20-23 (09.07.1993)/22</t>
  </si>
  <si>
    <t>Masters 40-44 (10.09.1975)/40</t>
  </si>
  <si>
    <t>Ковалевский Георгий</t>
  </si>
  <si>
    <t>Teenage 15-19 (28.10.1997)/18</t>
  </si>
  <si>
    <t>Холин Алексей</t>
  </si>
  <si>
    <t>Teenage 15-19 (02.07.1996)/19</t>
  </si>
  <si>
    <t>Игаллун Насим</t>
  </si>
  <si>
    <t>Juniors 20-23 (12.08.1993)/22</t>
  </si>
  <si>
    <t xml:space="preserve">Алжир </t>
  </si>
  <si>
    <t>138,0</t>
  </si>
  <si>
    <t>Скрипник Максим</t>
  </si>
  <si>
    <t>Open (08.11.1982)/33</t>
  </si>
  <si>
    <t>Новиков Максим</t>
  </si>
  <si>
    <t>Teenage 15-19 (20.12.1998)/17</t>
  </si>
  <si>
    <t xml:space="preserve">Пикалёво/Ленинградская область </t>
  </si>
  <si>
    <t xml:space="preserve">Новиков Ю. </t>
  </si>
  <si>
    <t>Юдин Григорий</t>
  </si>
  <si>
    <t>Open (06.06.1985)/30</t>
  </si>
  <si>
    <t>Первышин Евгений</t>
  </si>
  <si>
    <t>Open (04.12.1973)/42</t>
  </si>
  <si>
    <t>Open (13.03.1984)/32</t>
  </si>
  <si>
    <t xml:space="preserve">Никулин А. </t>
  </si>
  <si>
    <t>Open (02.07.1979)/36</t>
  </si>
  <si>
    <t>Open (20.12.1998)/17</t>
  </si>
  <si>
    <t>Леднев Кирилл</t>
  </si>
  <si>
    <t>Open (05.04.1987)/29</t>
  </si>
  <si>
    <t xml:space="preserve">Дятьково/Брянская область </t>
  </si>
  <si>
    <t>Masters 40-44 (04.12.1973)/42</t>
  </si>
  <si>
    <t>Teenage 15-19 (13.07.1999)/16</t>
  </si>
  <si>
    <t>Крашенинников Сергей</t>
  </si>
  <si>
    <t>Juniors 20-23 (20.05.1994)/21</t>
  </si>
  <si>
    <t>Open (25.09.1981)/34</t>
  </si>
  <si>
    <t>Open (05.06.1987)/28</t>
  </si>
  <si>
    <t>Open (20.08.1984)/31</t>
  </si>
  <si>
    <t>Open (23.09.1990)/25</t>
  </si>
  <si>
    <t>Антоняк Роман</t>
  </si>
  <si>
    <t>Open (08.03.1993)/23</t>
  </si>
  <si>
    <t>Masters 45-49 (23.06.1970)/45</t>
  </si>
  <si>
    <t>Juniors 20-23 (21.03.1993)/23</t>
  </si>
  <si>
    <t>Open (14.03.1988)/28</t>
  </si>
  <si>
    <t>Open (21.05.1980)/35</t>
  </si>
  <si>
    <t>Open (30.09.1983)/32</t>
  </si>
  <si>
    <t>Juniors 20-23 (14.09.1992)/23</t>
  </si>
  <si>
    <t>Шишкин Андрей</t>
  </si>
  <si>
    <t>Open (02.09.1962)/53</t>
  </si>
  <si>
    <t>Бариев Динар</t>
  </si>
  <si>
    <t>Masters 40-44 (20.10.1971)/44</t>
  </si>
  <si>
    <t>257,5</t>
  </si>
  <si>
    <t>Masters 50-54 (02.09.1962)/53</t>
  </si>
  <si>
    <t>Open (22.08.1988)/27</t>
  </si>
  <si>
    <t>Open (04.11.1987)/28</t>
  </si>
  <si>
    <t>Masters 40-44 (16.11.1972)/43</t>
  </si>
  <si>
    <t xml:space="preserve">Белкин Ю. </t>
  </si>
  <si>
    <t>Демченко Олег</t>
  </si>
  <si>
    <t>Open (11.08.1977)/38</t>
  </si>
  <si>
    <t>288,3108</t>
  </si>
  <si>
    <t>410,1140</t>
  </si>
  <si>
    <t>322,5</t>
  </si>
  <si>
    <t>405,6405</t>
  </si>
  <si>
    <t>351,0540</t>
  </si>
  <si>
    <t>522,5</t>
  </si>
  <si>
    <t>382,5745</t>
  </si>
  <si>
    <t>542,5</t>
  </si>
  <si>
    <t>366,9470</t>
  </si>
  <si>
    <t>480,0</t>
  </si>
  <si>
    <t>355,8720</t>
  </si>
  <si>
    <t>537,5</t>
  </si>
  <si>
    <t>385,8712</t>
  </si>
  <si>
    <t>442,5</t>
  </si>
  <si>
    <t>343,6455</t>
  </si>
  <si>
    <t>510,0</t>
  </si>
  <si>
    <t>326,9100</t>
  </si>
  <si>
    <t>780,0</t>
  </si>
  <si>
    <t>442,1040</t>
  </si>
  <si>
    <t>675,0</t>
  </si>
  <si>
    <t>432,6750</t>
  </si>
  <si>
    <t>645,0</t>
  </si>
  <si>
    <t>585,0</t>
  </si>
  <si>
    <t>517,5</t>
  </si>
  <si>
    <t>435,9953</t>
  </si>
  <si>
    <t>416,8079</t>
  </si>
  <si>
    <t>407,9142</t>
  </si>
  <si>
    <t>Open (16.02.1983)/33</t>
  </si>
  <si>
    <t>Masters 45-49 (11.02.1970)/46</t>
  </si>
  <si>
    <t>Open (07.12.1985)/30</t>
  </si>
  <si>
    <t>Juniors 20-23 (26.04.1994)/21</t>
  </si>
  <si>
    <t>Teenage 15-19 (23.01.2001)/15</t>
  </si>
  <si>
    <t>Open (11.07.1982)/33</t>
  </si>
  <si>
    <t>Open (26.02.1979)/37</t>
  </si>
  <si>
    <t xml:space="preserve">Волоколамск/Московская область </t>
  </si>
  <si>
    <t>Абдалов Дмитрий</t>
  </si>
  <si>
    <t>Open (28.02.1989)/27</t>
  </si>
  <si>
    <t>Masters 55-59 (26.04.1959)/56</t>
  </si>
  <si>
    <t>Open (23.07.1988)/27</t>
  </si>
  <si>
    <t>Masters 45-49 (22.05.1969)/46</t>
  </si>
  <si>
    <t>Богданов Константин</t>
  </si>
  <si>
    <t>Open (14.05.1976)/39</t>
  </si>
  <si>
    <t xml:space="preserve">Богданов К. </t>
  </si>
  <si>
    <t>Горячев Станислав</t>
  </si>
  <si>
    <t>Open (05.06.1975)/40</t>
  </si>
  <si>
    <t xml:space="preserve">Рыбинск/Ярославская область </t>
  </si>
  <si>
    <t>Суханов Михаил</t>
  </si>
  <si>
    <t>Open (30.08.1979)/36</t>
  </si>
  <si>
    <t>110,7975</t>
  </si>
  <si>
    <t>107,9770</t>
  </si>
  <si>
    <t>101,4910</t>
  </si>
  <si>
    <t>Ненартович Юлия</t>
  </si>
  <si>
    <t>Open (03.01.1988)/28</t>
  </si>
  <si>
    <t>Teenage 15-19 (23.07.2000)/15</t>
  </si>
  <si>
    <t>Teenage 15-19 (22.08.1997)/18</t>
  </si>
  <si>
    <t>Насонова Ольга</t>
  </si>
  <si>
    <t>Open (31.01.1996)/20</t>
  </si>
  <si>
    <t>Панферова Мария</t>
  </si>
  <si>
    <t>Open (27.04.1977)/38</t>
  </si>
  <si>
    <t>228,0</t>
  </si>
  <si>
    <t>Мендалиева Эльвира</t>
  </si>
  <si>
    <t>Open (14.10.1977)/38</t>
  </si>
  <si>
    <t>Рек Александр</t>
  </si>
  <si>
    <t>Open (13.07.1987)/28</t>
  </si>
  <si>
    <t>Сухинин Владимир</t>
  </si>
  <si>
    <t>Masters 60-64 (25.04.1951)/64</t>
  </si>
  <si>
    <t>Juniors 20-23 (09.01.1996)/20</t>
  </si>
  <si>
    <t>Open (29.06.1988)/27</t>
  </si>
  <si>
    <t xml:space="preserve">Грязовец/Вологодская область </t>
  </si>
  <si>
    <t>Open (15.08.1981)/34</t>
  </si>
  <si>
    <t xml:space="preserve">Кингисепп/Ленинградская област </t>
  </si>
  <si>
    <t>Корнеев Дмитрий</t>
  </si>
  <si>
    <t>Open (19.01.1982)/34</t>
  </si>
  <si>
    <t xml:space="preserve">Можайск/Московская область </t>
  </si>
  <si>
    <t>Скоробогатченко Роман</t>
  </si>
  <si>
    <t>Open (15.05.1987)/28</t>
  </si>
  <si>
    <t>Open (27.06.1986)/29</t>
  </si>
  <si>
    <t xml:space="preserve">Тула/Тульская область </t>
  </si>
  <si>
    <t>Open (13.10.1990)/25</t>
  </si>
  <si>
    <t xml:space="preserve">Геленджик/Краснодарский край </t>
  </si>
  <si>
    <t>Open (27.09.1990)/25</t>
  </si>
  <si>
    <t>Open (23.10.1982)/33</t>
  </si>
  <si>
    <t xml:space="preserve">Троицк/Московская область </t>
  </si>
  <si>
    <t>Masters 40-44 (27.07.1974)/41</t>
  </si>
  <si>
    <t>Masters 45-49 (25.06.1970)/45</t>
  </si>
  <si>
    <t>Juniors 20-23 (29.12.1995)/20</t>
  </si>
  <si>
    <t>Open (19.06.1984)/31</t>
  </si>
  <si>
    <t>Open (26.01.1987)/29</t>
  </si>
  <si>
    <t>Masters 50-54 (01.01.1964)/52</t>
  </si>
  <si>
    <t>Teenage 15-19 (11.03.1997)/19</t>
  </si>
  <si>
    <t>Коробов Илья</t>
  </si>
  <si>
    <t>Juniors 20-23 (31.05.1993)/22</t>
  </si>
  <si>
    <t>Кобанов Артем</t>
  </si>
  <si>
    <t>Open (10.01.1992)/24</t>
  </si>
  <si>
    <t>Open (08.06.1989)/26</t>
  </si>
  <si>
    <t xml:space="preserve">Тюмень/Тюменская область </t>
  </si>
  <si>
    <t>Open (26.06.1991)/24</t>
  </si>
  <si>
    <t xml:space="preserve">Уфа/Башкортостан </t>
  </si>
  <si>
    <t>Open (16.06.1982)/33</t>
  </si>
  <si>
    <t>Прокопьев Александр</t>
  </si>
  <si>
    <t>Juniors 20-23 (13.06.1993)/22</t>
  </si>
  <si>
    <t>370,0</t>
  </si>
  <si>
    <t>Лузанов Александр</t>
  </si>
  <si>
    <t>Juniors 20-23 (30.09.1993)/22</t>
  </si>
  <si>
    <t>Клопков Илья</t>
  </si>
  <si>
    <t>Juniors 20-23 (03.05.1994)/21</t>
  </si>
  <si>
    <t>Open (13.06.1993)/22</t>
  </si>
  <si>
    <t>Open (07.09.1982)/33</t>
  </si>
  <si>
    <t>Open (20.05.1979)/36</t>
  </si>
  <si>
    <t>Open (21.12.1987)/28</t>
  </si>
  <si>
    <t>Open (03.05.1994)/21</t>
  </si>
  <si>
    <t>Masters 40-44 (31.01.1975)/41</t>
  </si>
  <si>
    <t>Чичикин Андрей</t>
  </si>
  <si>
    <t>Masters 55-59 (18.05.1957)/58</t>
  </si>
  <si>
    <t xml:space="preserve">Клин/Московская область </t>
  </si>
  <si>
    <t>Подрез Иван</t>
  </si>
  <si>
    <t>Open (06.06.1991)/24</t>
  </si>
  <si>
    <t>415,0</t>
  </si>
  <si>
    <t>425,0</t>
  </si>
  <si>
    <t>532,5</t>
  </si>
  <si>
    <t>509,6557</t>
  </si>
  <si>
    <t>475,0</t>
  </si>
  <si>
    <t>484,7850</t>
  </si>
  <si>
    <t>411,7825</t>
  </si>
  <si>
    <t>825,0</t>
  </si>
  <si>
    <t>480,1500</t>
  </si>
  <si>
    <t>690,0</t>
  </si>
  <si>
    <t>415,3110</t>
  </si>
  <si>
    <t>710,0</t>
  </si>
  <si>
    <t>408,4630</t>
  </si>
  <si>
    <t>1022,5</t>
  </si>
  <si>
    <t>552,6612</t>
  </si>
  <si>
    <t>832,5</t>
  </si>
  <si>
    <t>491,0085</t>
  </si>
  <si>
    <t>760,0</t>
  </si>
  <si>
    <t>487,1600</t>
  </si>
  <si>
    <t>545,0</t>
  </si>
  <si>
    <t>449,2570</t>
  </si>
  <si>
    <t>437,9502</t>
  </si>
  <si>
    <t>550,0</t>
  </si>
  <si>
    <t>412,7747</t>
  </si>
  <si>
    <t>Teenage 15-19 (20.05.1996)/19</t>
  </si>
  <si>
    <t>Добря Кристина</t>
  </si>
  <si>
    <t>Open (20.04.1989)/27</t>
  </si>
  <si>
    <t>Постнова Илина</t>
  </si>
  <si>
    <t>Open (16.06.1985)/30</t>
  </si>
  <si>
    <t>Рямаева Людмила</t>
  </si>
  <si>
    <t>Open (12.01.1980)/36</t>
  </si>
  <si>
    <t>Open (26.10.1988)/27</t>
  </si>
  <si>
    <t xml:space="preserve">Клинцы/Брянская область </t>
  </si>
  <si>
    <t>Open (06.08.1984)/31</t>
  </si>
  <si>
    <t>Open (21.10.1972)/43</t>
  </si>
  <si>
    <t>Masters 40-44 (21.10.1972)/43</t>
  </si>
  <si>
    <t>Уколова Вероника</t>
  </si>
  <si>
    <t>Open (17.06.1997)/18</t>
  </si>
  <si>
    <t>Teenage 15-19 (24.01.2001)/15</t>
  </si>
  <si>
    <t xml:space="preserve">Кубинка/Московская область </t>
  </si>
  <si>
    <t>Open (03.09.1984)/31</t>
  </si>
  <si>
    <t>Open (21.12.1984)/31</t>
  </si>
  <si>
    <t>Teenage 15-19 (15.07.1999)/16</t>
  </si>
  <si>
    <t xml:space="preserve">Шатура/Московская область </t>
  </si>
  <si>
    <t>Teenage 15-19 (31.12.1997)/18</t>
  </si>
  <si>
    <t>Селихов Егор</t>
  </si>
  <si>
    <t>Teenage 15-19 (29.04.1997)/18</t>
  </si>
  <si>
    <t xml:space="preserve">Сергиев Посад/Московская область </t>
  </si>
  <si>
    <t xml:space="preserve">Калитюк А. </t>
  </si>
  <si>
    <t>250,5</t>
  </si>
  <si>
    <t>160,5</t>
  </si>
  <si>
    <t>Open (08.06.1988)/27</t>
  </si>
  <si>
    <t>Федорков Александр</t>
  </si>
  <si>
    <t>Teenage 15-19 (08.10.1996)/19</t>
  </si>
  <si>
    <t>Казарян Артак</t>
  </si>
  <si>
    <t>Teenage 15-19 (25.05.2000)/15</t>
  </si>
  <si>
    <t>Juniors 20-23 (27.02.1996)/20</t>
  </si>
  <si>
    <t xml:space="preserve">Климовск/Московская область </t>
  </si>
  <si>
    <t>Juniors 20-23 (25.01.1993)/23</t>
  </si>
  <si>
    <t>Беспалов Артём</t>
  </si>
  <si>
    <t>Juniors 20-23 (28.08.1993)/22</t>
  </si>
  <si>
    <t>Кляузов Сергей</t>
  </si>
  <si>
    <t>Open (28.01.1990)/26</t>
  </si>
  <si>
    <t xml:space="preserve">Сергиев-Посад/Московская </t>
  </si>
  <si>
    <t>Open (06.01.1960)/56</t>
  </si>
  <si>
    <t xml:space="preserve">Мурманск/Мурманская область </t>
  </si>
  <si>
    <t>Шихалеев Роман</t>
  </si>
  <si>
    <t>Open (04.05.1990)/25</t>
  </si>
  <si>
    <t>Masters 55-59 (06.01.1960)/56</t>
  </si>
  <si>
    <t>Шумбасов Валерий</t>
  </si>
  <si>
    <t>Open (28.04.1982)/33</t>
  </si>
  <si>
    <t>345,5640</t>
  </si>
  <si>
    <t>417,5</t>
  </si>
  <si>
    <t>336,0875</t>
  </si>
  <si>
    <t>325,4090</t>
  </si>
  <si>
    <t>335,0812</t>
  </si>
  <si>
    <t>332,1000</t>
  </si>
  <si>
    <t>317,5</t>
  </si>
  <si>
    <t>872,5</t>
  </si>
  <si>
    <t>513,4663</t>
  </si>
  <si>
    <t>622,5</t>
  </si>
  <si>
    <t>417,6352</t>
  </si>
  <si>
    <t>416,6055</t>
  </si>
  <si>
    <t>Аничкина Валерия</t>
  </si>
  <si>
    <t>Juniors 20-23 (26.03.1995)/21</t>
  </si>
  <si>
    <t>Open (27.07.1983)/32</t>
  </si>
  <si>
    <t>Зорина Анастасия</t>
  </si>
  <si>
    <t>Teenage 15-19 (12.11.1996)/19</t>
  </si>
  <si>
    <t>Open (12.11.1996)/19</t>
  </si>
  <si>
    <t>Астахова Елена</t>
  </si>
  <si>
    <t>Open (17.04.1982)/34</t>
  </si>
  <si>
    <t>Бочарова Галина</t>
  </si>
  <si>
    <t>Juniors 20-23 (18.10.1992)/23</t>
  </si>
  <si>
    <t>Федулова Алена</t>
  </si>
  <si>
    <t xml:space="preserve">Кабетова К. </t>
  </si>
  <si>
    <t>Калинцева Кристина</t>
  </si>
  <si>
    <t>Juniors 20-23 (17.10.1995)/20</t>
  </si>
  <si>
    <t>Аблаева Виктория</t>
  </si>
  <si>
    <t>Open (08.05.1983)/32</t>
  </si>
  <si>
    <t>Open (05.09.1990)/25</t>
  </si>
  <si>
    <t>Open (11.07.1989)/26</t>
  </si>
  <si>
    <t>Open (17.06.1987)/28</t>
  </si>
  <si>
    <t>Сухобок Максим</t>
  </si>
  <si>
    <t>Masters 50-54 (01.01.1965)/51</t>
  </si>
  <si>
    <t>Teenage 15-19 (10.08.1998)/17</t>
  </si>
  <si>
    <t>Juniors 20-23 (16.04.1996)/20</t>
  </si>
  <si>
    <t>Teenage 15-19 (03.09.1997)/18</t>
  </si>
  <si>
    <t>Фокин Владимир</t>
  </si>
  <si>
    <t>Masters 50-54 (29.09.1965)/50</t>
  </si>
  <si>
    <t>Чекмасов Даниил</t>
  </si>
  <si>
    <t>Teenage 15-19 (29.01.1998)/18</t>
  </si>
  <si>
    <t>Алиев Эмиль</t>
  </si>
  <si>
    <t>Teenage 15-19 (20.11.1996)/19</t>
  </si>
  <si>
    <t>Илясов Антон</t>
  </si>
  <si>
    <t>Open (25.11.1988)/27</t>
  </si>
  <si>
    <t>Open (27.06.1988)/27</t>
  </si>
  <si>
    <t xml:space="preserve">Рыбное/Рязанская область </t>
  </si>
  <si>
    <t>Open (31.08.1979)/36</t>
  </si>
  <si>
    <t>Open (07.03.1991)/25</t>
  </si>
  <si>
    <t>Open (13.02.1986)/30</t>
  </si>
  <si>
    <t>Masters 50-54 (30.07.1961)/54</t>
  </si>
  <si>
    <t xml:space="preserve">Горохов Е. </t>
  </si>
  <si>
    <t>Борисов Артур</t>
  </si>
  <si>
    <t>Teenage 15-19 (29.12.1997)/18</t>
  </si>
  <si>
    <t>Кольцов Павел</t>
  </si>
  <si>
    <t>Juniors 20-23 (11.08.1993)/22</t>
  </si>
  <si>
    <t>Морозов Константин</t>
  </si>
  <si>
    <t>Open (23.10.1984)/31</t>
  </si>
  <si>
    <t xml:space="preserve">Воскресенск/Московская область </t>
  </si>
  <si>
    <t>362,5</t>
  </si>
  <si>
    <t>Open (26.04.1991)/24</t>
  </si>
  <si>
    <t>335,0</t>
  </si>
  <si>
    <t>Open (25.01.1990)/26</t>
  </si>
  <si>
    <t xml:space="preserve">Муром/Владимирская область </t>
  </si>
  <si>
    <t>Open (01.11.1987)/28</t>
  </si>
  <si>
    <t>Masters 45-49 (28.02.1970)/46</t>
  </si>
  <si>
    <t>Бернецкий Владислав</t>
  </si>
  <si>
    <t>Juniors 20-23 (21.08.1993)/22</t>
  </si>
  <si>
    <t>311,0</t>
  </si>
  <si>
    <t>Open (22.04.1978)/38</t>
  </si>
  <si>
    <t>Клюшев Александр</t>
  </si>
  <si>
    <t>Open (23.12.1983)/32</t>
  </si>
  <si>
    <t xml:space="preserve">Владимир/Владимирская область </t>
  </si>
  <si>
    <t>385,0</t>
  </si>
  <si>
    <t>Open (03.10.1973)/42</t>
  </si>
  <si>
    <t xml:space="preserve">Лосино-Петровский/Московская область </t>
  </si>
  <si>
    <t>355,0</t>
  </si>
  <si>
    <t>Open (20.05.1985)/30</t>
  </si>
  <si>
    <t>159,9408</t>
  </si>
  <si>
    <t>157,3963</t>
  </si>
  <si>
    <t>112,4970</t>
  </si>
  <si>
    <t>74,3105</t>
  </si>
  <si>
    <t>167,1430</t>
  </si>
  <si>
    <t>144,9420</t>
  </si>
  <si>
    <t>153,4750</t>
  </si>
  <si>
    <t>153,0880</t>
  </si>
  <si>
    <t>149,5680</t>
  </si>
  <si>
    <t>179,5830</t>
  </si>
  <si>
    <t>179,2604</t>
  </si>
  <si>
    <t>150,0000</t>
  </si>
  <si>
    <t>214,4913</t>
  </si>
  <si>
    <t>207,2000</t>
  </si>
  <si>
    <t>205,8540</t>
  </si>
  <si>
    <t>227,1662</t>
  </si>
  <si>
    <t>211,6463</t>
  </si>
  <si>
    <t>185,9263</t>
  </si>
  <si>
    <t>Teenage 15-19 (14.03.1998)/18</t>
  </si>
  <si>
    <t>Open (06.12.1984)/31</t>
  </si>
  <si>
    <t>Open (30.09.1991)/24</t>
  </si>
  <si>
    <t>Juniors 20-23 (08.11.1993)/22</t>
  </si>
  <si>
    <t>Open (07.07.1978)/37</t>
  </si>
  <si>
    <t xml:space="preserve">Губкин/Белгородская область </t>
  </si>
  <si>
    <t>Teenage 15-19 (13.06.1997)/18</t>
  </si>
  <si>
    <t>Juniors 20-23 (01.04.1993)/23</t>
  </si>
  <si>
    <t xml:space="preserve">Вегетарианская сила </t>
  </si>
  <si>
    <t>Суховеркова Екатерина</t>
  </si>
  <si>
    <t>Open (04.04.1973)/43</t>
  </si>
  <si>
    <t>Дьяконова Наталья</t>
  </si>
  <si>
    <t>Open (22.07.1987)/28</t>
  </si>
  <si>
    <t>Open (01.04.1993)/23</t>
  </si>
  <si>
    <t>Open (13.01.1992)/24</t>
  </si>
  <si>
    <t>Open (01.06.1983)/32</t>
  </si>
  <si>
    <t>Open (18.08.1989)/26</t>
  </si>
  <si>
    <t>Open (01.04.1960)/56</t>
  </si>
  <si>
    <t>Masters 55-59 (01.04.1960)/56</t>
  </si>
  <si>
    <t>Open (30.05.1976)/39</t>
  </si>
  <si>
    <t>Open (20.07.1980)/35</t>
  </si>
  <si>
    <t>Masters 40-44 (28.01.1976)/40</t>
  </si>
  <si>
    <t>Open (29.11.1981)/34</t>
  </si>
  <si>
    <t>Open (21.05.1991)/24</t>
  </si>
  <si>
    <t>Juniors 20-23 (02.07.1993)/22</t>
  </si>
  <si>
    <t>Шурыгин Дмитрий</t>
  </si>
  <si>
    <t>Teenage 15-19 (22.03.1998)/18</t>
  </si>
  <si>
    <t>Open (22.03.1998)/18</t>
  </si>
  <si>
    <t>Open (13.09.1987)/28</t>
  </si>
  <si>
    <t xml:space="preserve">Всеволожск/Ленинградская область </t>
  </si>
  <si>
    <t>Open (15.01.1989)/27</t>
  </si>
  <si>
    <t>Попов Денис</t>
  </si>
  <si>
    <t>Open (02.03.1992)/24</t>
  </si>
  <si>
    <t>Фадин Савелий</t>
  </si>
  <si>
    <t>Teenage 15-19 (28.09.1998)/17</t>
  </si>
  <si>
    <t xml:space="preserve">Антонов Н. </t>
  </si>
  <si>
    <t>Оларь Василий</t>
  </si>
  <si>
    <t>Juniors 20-23 (13.01.1994)/22</t>
  </si>
  <si>
    <t>Open (19.09.1984)/31</t>
  </si>
  <si>
    <t>Open (13.05.1986)/29</t>
  </si>
  <si>
    <t>Open (29.06.1975)/40</t>
  </si>
  <si>
    <t>Батяев Евгений</t>
  </si>
  <si>
    <t>Open (21.12.1986)/29</t>
  </si>
  <si>
    <t>Крупка Сергей</t>
  </si>
  <si>
    <t>Teenage 15-19 (08.11.2000)/15</t>
  </si>
  <si>
    <t xml:space="preserve">Сланцы/Ленинградская область </t>
  </si>
  <si>
    <t>Teenage 15-19 (16.08.1999)/16</t>
  </si>
  <si>
    <t>Морозов Дмитрий</t>
  </si>
  <si>
    <t>Juniors 20-23 (09.10.1995)/20</t>
  </si>
  <si>
    <t>Juniors 20-23 (19.12.1993)/22</t>
  </si>
  <si>
    <t>Juniors 20-23 (04.10.1992)/23</t>
  </si>
  <si>
    <t>Open (18.10.1983)/32</t>
  </si>
  <si>
    <t xml:space="preserve">Курчатов/Курская область </t>
  </si>
  <si>
    <t>300,5</t>
  </si>
  <si>
    <t>Open (09.10.1990)/25</t>
  </si>
  <si>
    <t>Masters 40-44 (19.11.1975)/40</t>
  </si>
  <si>
    <t>Juniors 20-23 (07.01.1994)/22</t>
  </si>
  <si>
    <t>Ломанов Кирилл</t>
  </si>
  <si>
    <t>Open (15.07.1987)/28</t>
  </si>
  <si>
    <t>Open (19.03.1979)/37</t>
  </si>
  <si>
    <t>Open (09.02.1985)/31</t>
  </si>
  <si>
    <t>Masters 65-69 (03.09.1946)/69</t>
  </si>
  <si>
    <t>Juniors 20-23 (13.05.1992)/23</t>
  </si>
  <si>
    <t>Open (21.02.1988)/28</t>
  </si>
  <si>
    <t>Open (22.09.1977)/38</t>
  </si>
  <si>
    <t>Open (14.04.1979)/37</t>
  </si>
  <si>
    <t>Open (17.12.1987)/28</t>
  </si>
  <si>
    <t>Open (26.02.1987)/29</t>
  </si>
  <si>
    <t>Open (01.04.1991)/25</t>
  </si>
  <si>
    <t>Open (01.02.1988)/28</t>
  </si>
  <si>
    <t>Masters 40-44 (19.05.1974)/41</t>
  </si>
  <si>
    <t>Masters 40-44 (01.11.1972)/43</t>
  </si>
  <si>
    <t>Ведерников Игорь</t>
  </si>
  <si>
    <t>Teenage 15-19 (11.03.2000)/16</t>
  </si>
  <si>
    <t>Juniors 20-23 (28.02.1995)/21</t>
  </si>
  <si>
    <t>199,7053</t>
  </si>
  <si>
    <t>191,0120</t>
  </si>
  <si>
    <t>171,0150</t>
  </si>
  <si>
    <t>154,5060</t>
  </si>
  <si>
    <t>141,9360</t>
  </si>
  <si>
    <t>135,7253</t>
  </si>
  <si>
    <t>182,4930</t>
  </si>
  <si>
    <t>157,0568</t>
  </si>
  <si>
    <t>149,6000</t>
  </si>
  <si>
    <t>192,7120</t>
  </si>
  <si>
    <t>191,6400</t>
  </si>
  <si>
    <t>176,7205</t>
  </si>
  <si>
    <t>176,3418</t>
  </si>
  <si>
    <t>Емельянова Нина</t>
  </si>
  <si>
    <t>Open (22.09.1980)/35</t>
  </si>
  <si>
    <t>Open (19.07.1991)/24</t>
  </si>
  <si>
    <t>Open (07.01.1988)/28</t>
  </si>
  <si>
    <t>Парфенов Александр</t>
  </si>
  <si>
    <t>Open (20.09.1988)/27</t>
  </si>
  <si>
    <t>Гореликов Дмитрий</t>
  </si>
  <si>
    <t>Open (23.06.1968)/47</t>
  </si>
  <si>
    <t>Open (12.11.1987)/28</t>
  </si>
  <si>
    <t>Циколенко Роман</t>
  </si>
  <si>
    <t>Open (10.05.1984)/31</t>
  </si>
  <si>
    <t>Masters 45-49 (23.06.1968)/47</t>
  </si>
  <si>
    <t>Open (25.09.1990)/25</t>
  </si>
  <si>
    <t>Пустовой Руслан</t>
  </si>
  <si>
    <t>Open (28.08.1979)/36</t>
  </si>
  <si>
    <t>Баруздин Максим</t>
  </si>
  <si>
    <t>Open (20.05.1982)/33</t>
  </si>
  <si>
    <t xml:space="preserve">Cuba </t>
  </si>
  <si>
    <t>218,6380</t>
  </si>
  <si>
    <t>129,3875</t>
  </si>
  <si>
    <t>112,5100</t>
  </si>
  <si>
    <t>203,6190</t>
  </si>
  <si>
    <t>193,4260</t>
  </si>
  <si>
    <t>183,4560</t>
  </si>
  <si>
    <t>181,5260</t>
  </si>
  <si>
    <t>188,0599</t>
  </si>
  <si>
    <t>187,2634</t>
  </si>
  <si>
    <t>Open (27.12.1988)/27</t>
  </si>
  <si>
    <t>Белов Станислав</t>
  </si>
  <si>
    <t>Open (11.11.1990)/25</t>
  </si>
  <si>
    <t>Сверчкова Анна</t>
  </si>
  <si>
    <t>Open (22.04.1991)/25</t>
  </si>
  <si>
    <t xml:space="preserve">Архангельск/Архангельская область </t>
  </si>
  <si>
    <t>Ярмухаметов Дмитрий</t>
  </si>
  <si>
    <t>Open (15.06.1979)/36</t>
  </si>
  <si>
    <t>Masters 45-49 (27.06.1970)/45</t>
  </si>
  <si>
    <t>Open (21.08.1976)/39</t>
  </si>
  <si>
    <t>Masters 40-44 (31.08.1975)/40</t>
  </si>
  <si>
    <t>Корытко Сергей</t>
  </si>
  <si>
    <t>Masters 40-44 (17.01.1973)/43</t>
  </si>
  <si>
    <t xml:space="preserve">Кстово/Нижегородская область </t>
  </si>
  <si>
    <t xml:space="preserve">Петров А. </t>
  </si>
  <si>
    <t>Open (18.05.1975)/40</t>
  </si>
  <si>
    <t>308,5790</t>
  </si>
  <si>
    <t>291,6540</t>
  </si>
  <si>
    <t>440,0</t>
  </si>
  <si>
    <t>282,0400</t>
  </si>
  <si>
    <t>470,0</t>
  </si>
  <si>
    <t>295,0344</t>
  </si>
  <si>
    <t>457,5</t>
  </si>
  <si>
    <t>278,5646</t>
  </si>
  <si>
    <t>Open (05.06.1982)/33</t>
  </si>
  <si>
    <t>Подольская Кристина</t>
  </si>
  <si>
    <t>Open (09.05.1990)/25</t>
  </si>
  <si>
    <t xml:space="preserve">Железнодорожный/Московская область </t>
  </si>
  <si>
    <t>Juniors 20-23 (10.06.1993)/22</t>
  </si>
  <si>
    <t>Клюкина Наталья</t>
  </si>
  <si>
    <t>Open (04.07.1987)/28</t>
  </si>
  <si>
    <t>Open (20.12.1992)/23</t>
  </si>
  <si>
    <t>Open (07.09.1989)/26</t>
  </si>
  <si>
    <t>Герун Андрей</t>
  </si>
  <si>
    <t>Masters 45-49 (02.02.1971)/45</t>
  </si>
  <si>
    <t>Open (24.09.1991)/24</t>
  </si>
  <si>
    <t>Петров Евгений</t>
  </si>
  <si>
    <t>Teenage 15-19 (14.09.1996)/19</t>
  </si>
  <si>
    <t>270,7027</t>
  </si>
  <si>
    <t>211,3650</t>
  </si>
  <si>
    <t>452,5</t>
  </si>
  <si>
    <t>263,8528</t>
  </si>
  <si>
    <t>237,2992</t>
  </si>
  <si>
    <t>277,1190</t>
  </si>
  <si>
    <t>372,5</t>
  </si>
  <si>
    <t>297,5</t>
  </si>
  <si>
    <t>397,5409</t>
  </si>
  <si>
    <t>265,4033</t>
  </si>
  <si>
    <t>229,6559</t>
  </si>
  <si>
    <t>Open (14.12.1985)/30</t>
  </si>
  <si>
    <t>Open (25.04.1991)/24</t>
  </si>
  <si>
    <t>287,5</t>
  </si>
  <si>
    <t>Ушков Илья</t>
  </si>
  <si>
    <t>Open (21.06.1976)/39</t>
  </si>
  <si>
    <t>170,8290</t>
  </si>
  <si>
    <t>164,3950</t>
  </si>
  <si>
    <t>153,8400</t>
  </si>
  <si>
    <t>150,6350</t>
  </si>
  <si>
    <t>150,2800</t>
  </si>
  <si>
    <t>125,4388</t>
  </si>
  <si>
    <t>Толстошеева Виктория</t>
  </si>
  <si>
    <t>Juniors 20-23 (25.03.1993)/23</t>
  </si>
  <si>
    <t>Романовская Екатерина</t>
  </si>
  <si>
    <t>Open (07.04.1992)/24</t>
  </si>
  <si>
    <t>Демин Артем</t>
  </si>
  <si>
    <t>Open (04.08.1989)/26</t>
  </si>
  <si>
    <t>Juniors 20-23 (30.11.1995)/20</t>
  </si>
  <si>
    <t>Teenage 15-19 (21.11.1996)/19</t>
  </si>
  <si>
    <t>Open (16.12.1988)/27</t>
  </si>
  <si>
    <t>217,7402</t>
  </si>
  <si>
    <t>204,1200</t>
  </si>
  <si>
    <t>77,6325</t>
  </si>
  <si>
    <t>229,7125</t>
  </si>
  <si>
    <t>172,7100</t>
  </si>
  <si>
    <t>169,9328</t>
  </si>
  <si>
    <t>Open (11.12.1989)/26</t>
  </si>
  <si>
    <t>Кочетов Александр</t>
  </si>
  <si>
    <t>Open (16.07.1987)/28</t>
  </si>
  <si>
    <t>169,9500</t>
  </si>
  <si>
    <t>157,7512</t>
  </si>
  <si>
    <t>154,3070</t>
  </si>
  <si>
    <t>Место</t>
  </si>
  <si>
    <t>Возрастная группа
Дата рождения/Возраст</t>
  </si>
  <si>
    <t>Собств. вес</t>
  </si>
  <si>
    <t>52,0</t>
  </si>
  <si>
    <t>115,7</t>
  </si>
  <si>
    <t>66,0</t>
  </si>
  <si>
    <t>78,2</t>
  </si>
  <si>
    <t>80,8</t>
  </si>
  <si>
    <t>82,3</t>
  </si>
  <si>
    <t>77,1</t>
  </si>
  <si>
    <t>96,4</t>
  </si>
  <si>
    <t>98,8</t>
  </si>
  <si>
    <t>0</t>
  </si>
  <si>
    <t xml:space="preserve">Кочетов А. </t>
  </si>
  <si>
    <t xml:space="preserve">Санкт-Петербург/Ленинградская область </t>
  </si>
  <si>
    <t xml:space="preserve">Москва/Московская область </t>
  </si>
  <si>
    <t>Москва/Московская область</t>
  </si>
  <si>
    <t>Устинов Н.</t>
  </si>
  <si>
    <t xml:space="preserve">100,0 </t>
  </si>
  <si>
    <t xml:space="preserve">82,5 </t>
  </si>
  <si>
    <t>Афины/Греция</t>
  </si>
  <si>
    <t>Медведева Ю.</t>
  </si>
  <si>
    <t>59,5</t>
  </si>
  <si>
    <t>67,4</t>
  </si>
  <si>
    <t>66,2</t>
  </si>
  <si>
    <t>74,2</t>
  </si>
  <si>
    <t>69,8</t>
  </si>
  <si>
    <t>73,4</t>
  </si>
  <si>
    <t>66,4</t>
  </si>
  <si>
    <t>66,7</t>
  </si>
  <si>
    <t>70,4</t>
  </si>
  <si>
    <t>79,9</t>
  </si>
  <si>
    <t>81,0</t>
  </si>
  <si>
    <t>98,9</t>
  </si>
  <si>
    <t>119,3</t>
  </si>
  <si>
    <t>117,0</t>
  </si>
  <si>
    <t>175,2</t>
  </si>
  <si>
    <t>Пикляев Д.</t>
  </si>
  <si>
    <t xml:space="preserve">Пикляев Д. </t>
  </si>
  <si>
    <t>Хохулин С.</t>
  </si>
  <si>
    <t>Ушков И.</t>
  </si>
  <si>
    <t xml:space="preserve">Шабанова А. </t>
  </si>
  <si>
    <t>Ульянов А.</t>
  </si>
  <si>
    <t>Марченко В.</t>
  </si>
  <si>
    <t>Сарычев К.</t>
  </si>
  <si>
    <t>Результат</t>
  </si>
  <si>
    <t>Кондаков А.</t>
  </si>
  <si>
    <t xml:space="preserve">Самостоятелно </t>
  </si>
  <si>
    <t>Бобруйск/Белоруссия</t>
  </si>
  <si>
    <t>46,1</t>
  </si>
  <si>
    <t>89,3</t>
  </si>
  <si>
    <t>108,9</t>
  </si>
  <si>
    <t>117,4</t>
  </si>
  <si>
    <t>94,2</t>
  </si>
  <si>
    <t>104,1</t>
  </si>
  <si>
    <t>104,9</t>
  </si>
  <si>
    <t>Михайловка/Волгоградская область</t>
  </si>
  <si>
    <t xml:space="preserve">110,0 </t>
  </si>
  <si>
    <t xml:space="preserve">90,0 </t>
  </si>
  <si>
    <t>Павлов М.</t>
  </si>
  <si>
    <t>Ольховский А.</t>
  </si>
  <si>
    <t>80,4</t>
  </si>
  <si>
    <t>106,5</t>
  </si>
  <si>
    <t>122,2</t>
  </si>
  <si>
    <t xml:space="preserve">Ушков И. </t>
  </si>
  <si>
    <t>82,0</t>
  </si>
  <si>
    <t>108,7</t>
  </si>
  <si>
    <t>Новосибирск/Свердловская область</t>
  </si>
  <si>
    <t>Кронштадт/Ленинградская область</t>
  </si>
  <si>
    <t>Щелково-3/Московская область</t>
  </si>
  <si>
    <t>Masters 55-59 (05.04.1961)/55</t>
  </si>
  <si>
    <t>Дударева Е.</t>
  </si>
  <si>
    <t>Мазуркевич М.</t>
  </si>
  <si>
    <t>Ряховский Д.</t>
  </si>
  <si>
    <t xml:space="preserve">Уразов В. </t>
  </si>
  <si>
    <t>Можаев С.</t>
  </si>
  <si>
    <t xml:space="preserve">Аветисян Б. </t>
  </si>
  <si>
    <t xml:space="preserve">Залуцкий Р. </t>
  </si>
  <si>
    <t>51,3</t>
  </si>
  <si>
    <t>55,2</t>
  </si>
  <si>
    <t>54,5</t>
  </si>
  <si>
    <t>58,0</t>
  </si>
  <si>
    <t>59,9</t>
  </si>
  <si>
    <t>61,2</t>
  </si>
  <si>
    <t>79,8</t>
  </si>
  <si>
    <t>65,5</t>
  </si>
  <si>
    <t>73,5</t>
  </si>
  <si>
    <t>81,3</t>
  </si>
  <si>
    <t>80,3</t>
  </si>
  <si>
    <t>78,9</t>
  </si>
  <si>
    <t>84,9</t>
  </si>
  <si>
    <t>88,9</t>
  </si>
  <si>
    <t>93,6</t>
  </si>
  <si>
    <t>96,8</t>
  </si>
  <si>
    <t>95,6</t>
  </si>
  <si>
    <t>94,9</t>
  </si>
  <si>
    <t>99,3</t>
  </si>
  <si>
    <t>108,8</t>
  </si>
  <si>
    <t>113,5</t>
  </si>
  <si>
    <t>119,1</t>
  </si>
  <si>
    <t>116,9</t>
  </si>
  <si>
    <t>95,9</t>
  </si>
  <si>
    <t>98,3</t>
  </si>
  <si>
    <t>97,8</t>
  </si>
  <si>
    <t>96,2</t>
  </si>
  <si>
    <t>98,7</t>
  </si>
  <si>
    <t>109,6</t>
  </si>
  <si>
    <t>107,8</t>
  </si>
  <si>
    <t>118,8</t>
  </si>
  <si>
    <t>129,2</t>
  </si>
  <si>
    <t>Санкт-Петербург/Ленинградская область</t>
  </si>
  <si>
    <t>Панов И.</t>
  </si>
  <si>
    <t xml:space="preserve">Аблаева В. </t>
  </si>
  <si>
    <t>Лукьянов С.</t>
  </si>
  <si>
    <t>Юханов А.</t>
  </si>
  <si>
    <t>Крылов Д.</t>
  </si>
  <si>
    <t>Тарасов Э.</t>
  </si>
  <si>
    <t>54,9</t>
  </si>
  <si>
    <t>87,7</t>
  </si>
  <si>
    <t>Новосибирск/Новосибирская область</t>
  </si>
  <si>
    <t>59,3</t>
  </si>
  <si>
    <t>64,6</t>
  </si>
  <si>
    <t>73,6</t>
  </si>
  <si>
    <t>87,6</t>
  </si>
  <si>
    <t>94,0</t>
  </si>
  <si>
    <t>109,0</t>
  </si>
  <si>
    <t>121,5</t>
  </si>
  <si>
    <t>126,0</t>
  </si>
  <si>
    <t xml:space="preserve">Кошуба А. </t>
  </si>
  <si>
    <t>Грахов Ю.</t>
  </si>
  <si>
    <t>Сергиев Посад/Московская область</t>
  </si>
  <si>
    <t>48,0</t>
  </si>
  <si>
    <t>54,3</t>
  </si>
  <si>
    <t>55,4</t>
  </si>
  <si>
    <t>59,1</t>
  </si>
  <si>
    <t>59,4</t>
  </si>
  <si>
    <t>58,3</t>
  </si>
  <si>
    <t>62,9</t>
  </si>
  <si>
    <t>64,3</t>
  </si>
  <si>
    <t>63,8</t>
  </si>
  <si>
    <t>65,6</t>
  </si>
  <si>
    <t>65,9</t>
  </si>
  <si>
    <t>71,9</t>
  </si>
  <si>
    <t>73,7</t>
  </si>
  <si>
    <t>72,2</t>
  </si>
  <si>
    <t>78,7</t>
  </si>
  <si>
    <t>82,4</t>
  </si>
  <si>
    <t>48,9</t>
  </si>
  <si>
    <t>52,7</t>
  </si>
  <si>
    <t>66,6</t>
  </si>
  <si>
    <t>66,9</t>
  </si>
  <si>
    <t>67,0</t>
  </si>
  <si>
    <t>70,7</t>
  </si>
  <si>
    <t>73,0</t>
  </si>
  <si>
    <t>71,7</t>
  </si>
  <si>
    <t>74,6</t>
  </si>
  <si>
    <t>76,6</t>
  </si>
  <si>
    <t>80,5</t>
  </si>
  <si>
    <t>81,4</t>
  </si>
  <si>
    <t>80,7</t>
  </si>
  <si>
    <t>81,5</t>
  </si>
  <si>
    <t>79,7</t>
  </si>
  <si>
    <t>75,4</t>
  </si>
  <si>
    <t>89,1</t>
  </si>
  <si>
    <t>89,9</t>
  </si>
  <si>
    <t>86,7</t>
  </si>
  <si>
    <t>86,8</t>
  </si>
  <si>
    <t>85,5</t>
  </si>
  <si>
    <t>97,7</t>
  </si>
  <si>
    <t>99,7</t>
  </si>
  <si>
    <t>95,4</t>
  </si>
  <si>
    <t>108,1</t>
  </si>
  <si>
    <t>102,0</t>
  </si>
  <si>
    <t>105,2</t>
  </si>
  <si>
    <t>107,3</t>
  </si>
  <si>
    <t>107,9</t>
  </si>
  <si>
    <t>122,7</t>
  </si>
  <si>
    <t>128,5</t>
  </si>
  <si>
    <t>135,5</t>
  </si>
  <si>
    <t xml:space="preserve">Москва/Московскя область </t>
  </si>
  <si>
    <t>Кишинев/Молдова</t>
  </si>
  <si>
    <t xml:space="preserve">Кронштадт/Ленинградская область </t>
  </si>
  <si>
    <t>Кочетов А.</t>
  </si>
  <si>
    <t>Парфенов А.</t>
  </si>
  <si>
    <t xml:space="preserve">Смирнов О. </t>
  </si>
  <si>
    <t>Юдин С.</t>
  </si>
  <si>
    <t>Уразов В.</t>
  </si>
  <si>
    <t>Гадиев Р.</t>
  </si>
  <si>
    <t>Лебедь А.</t>
  </si>
  <si>
    <t>Коваль М.</t>
  </si>
  <si>
    <t>Папеско А.</t>
  </si>
  <si>
    <t>Пресняков В.</t>
  </si>
  <si>
    <t>Мусаев А.</t>
  </si>
  <si>
    <t xml:space="preserve">Маркин Н. </t>
  </si>
  <si>
    <t xml:space="preserve">Первышин Е. </t>
  </si>
  <si>
    <t>Сухобок М.</t>
  </si>
  <si>
    <t>Синотова М.</t>
  </si>
  <si>
    <t>Савельев А.</t>
  </si>
  <si>
    <t>Корнеев А.</t>
  </si>
  <si>
    <t>Алимбеков Р.</t>
  </si>
  <si>
    <t>Кондаков.А.</t>
  </si>
  <si>
    <t>Юшин.А.</t>
  </si>
  <si>
    <t>Чаров М.</t>
  </si>
  <si>
    <t>Мамедяров А.</t>
  </si>
  <si>
    <t>Никулин А.</t>
  </si>
  <si>
    <t>Калёнкин М.</t>
  </si>
  <si>
    <t>Кузмищева Е.</t>
  </si>
  <si>
    <t>Евсеев М.</t>
  </si>
  <si>
    <t>Гончаров В.</t>
  </si>
  <si>
    <t>Бочков М.</t>
  </si>
  <si>
    <t>Каширин А.</t>
  </si>
  <si>
    <t>Евдокушин С.</t>
  </si>
  <si>
    <t>Таранухин Г.</t>
  </si>
  <si>
    <t>Яковлев Д.</t>
  </si>
  <si>
    <t>Сенькин В.</t>
  </si>
  <si>
    <t>Длужневский С.</t>
  </si>
  <si>
    <t>Онищенко С.</t>
  </si>
  <si>
    <t>Болград/Украина</t>
  </si>
  <si>
    <t>Москва /Московская область</t>
  </si>
  <si>
    <t xml:space="preserve">Санкт-Петербург/Ленинградская область  </t>
  </si>
  <si>
    <t>46,7</t>
  </si>
  <si>
    <t>49,0</t>
  </si>
  <si>
    <t>54,2</t>
  </si>
  <si>
    <t>55,6</t>
  </si>
  <si>
    <t>63,2</t>
  </si>
  <si>
    <t>63,4</t>
  </si>
  <si>
    <t>68,7</t>
  </si>
  <si>
    <t>86,4</t>
  </si>
  <si>
    <t>109,3</t>
  </si>
  <si>
    <t>68,2</t>
  </si>
  <si>
    <t>71,6</t>
  </si>
  <si>
    <t>87,8</t>
  </si>
  <si>
    <t>97,9</t>
  </si>
  <si>
    <t>94,6</t>
  </si>
  <si>
    <t>94,4</t>
  </si>
  <si>
    <t>98,2</t>
  </si>
  <si>
    <t>90,4</t>
  </si>
  <si>
    <t>97,2</t>
  </si>
  <si>
    <t>109,8</t>
  </si>
  <si>
    <t>103,8</t>
  </si>
  <si>
    <t>103,5</t>
  </si>
  <si>
    <t>105,6</t>
  </si>
  <si>
    <t>109,1</t>
  </si>
  <si>
    <t>106,4</t>
  </si>
  <si>
    <t>106,2</t>
  </si>
  <si>
    <t>118,7</t>
  </si>
  <si>
    <t>116,3</t>
  </si>
  <si>
    <t>134,1</t>
  </si>
  <si>
    <t>133,0</t>
  </si>
  <si>
    <t>Аблаева В.</t>
  </si>
  <si>
    <t xml:space="preserve">Вдовушкин А. </t>
  </si>
  <si>
    <t>Таликова Н.</t>
  </si>
  <si>
    <t>Кошуба А.</t>
  </si>
  <si>
    <t>Кузнецов Д.</t>
  </si>
  <si>
    <t>Игамов Ш.</t>
  </si>
  <si>
    <t>Романов Ю.</t>
  </si>
  <si>
    <t>Буганов С.</t>
  </si>
  <si>
    <t>Уколова В.</t>
  </si>
  <si>
    <t xml:space="preserve">Клюшев А., Никулин А. </t>
  </si>
  <si>
    <t>Клопков И.</t>
  </si>
  <si>
    <t>Варданян Ф.</t>
  </si>
  <si>
    <t>56,0</t>
  </si>
  <si>
    <t>55,1</t>
  </si>
  <si>
    <t>59,2</t>
  </si>
  <si>
    <t>58,1</t>
  </si>
  <si>
    <t>66,8</t>
  </si>
  <si>
    <t>53,5</t>
  </si>
  <si>
    <t>66,3</t>
  </si>
  <si>
    <t>70,3</t>
  </si>
  <si>
    <t>83,7</t>
  </si>
  <si>
    <t>87,1</t>
  </si>
  <si>
    <t>89,7</t>
  </si>
  <si>
    <t>84,7</t>
  </si>
  <si>
    <t>88,0</t>
  </si>
  <si>
    <t>88,1</t>
  </si>
  <si>
    <t>87,9</t>
  </si>
  <si>
    <t xml:space="preserve">Москва/Московская область  </t>
  </si>
  <si>
    <t>Ненартович Д.</t>
  </si>
  <si>
    <t>Савельев Е.</t>
  </si>
  <si>
    <t>Самостоятельно</t>
  </si>
  <si>
    <t>Вдовушкин А.</t>
  </si>
  <si>
    <t>Мельников А.</t>
  </si>
  <si>
    <t>Тысячнюк Е.</t>
  </si>
  <si>
    <t>Горячев А.</t>
  </si>
  <si>
    <t>Аветисян Б.</t>
  </si>
  <si>
    <t>Мохов С.</t>
  </si>
  <si>
    <t>Чумичёв С.</t>
  </si>
  <si>
    <t xml:space="preserve">Длужневский С. </t>
  </si>
  <si>
    <t>51,9</t>
  </si>
  <si>
    <t>53,3</t>
  </si>
  <si>
    <t>72,8</t>
  </si>
  <si>
    <t>73,2</t>
  </si>
  <si>
    <t>77,8</t>
  </si>
  <si>
    <t>89,6</t>
  </si>
  <si>
    <t>86,5</t>
  </si>
  <si>
    <t>84,2</t>
  </si>
  <si>
    <t>88,5</t>
  </si>
  <si>
    <t>83,0</t>
  </si>
  <si>
    <t>99,5</t>
  </si>
  <si>
    <t>93,0</t>
  </si>
  <si>
    <t>96,1</t>
  </si>
  <si>
    <t>97,3</t>
  </si>
  <si>
    <t>100,8</t>
  </si>
  <si>
    <t>102,9</t>
  </si>
  <si>
    <t>109,2</t>
  </si>
  <si>
    <t>107,2</t>
  </si>
  <si>
    <t>114,3</t>
  </si>
  <si>
    <t>119,7</t>
  </si>
  <si>
    <t>124,0</t>
  </si>
  <si>
    <t>118,3</t>
  </si>
  <si>
    <t>112,0</t>
  </si>
  <si>
    <t>127,4</t>
  </si>
  <si>
    <t>Ханты-Мансийск/Ханты-Мансийский АО</t>
  </si>
  <si>
    <t xml:space="preserve">Тарас/Казахстан </t>
  </si>
  <si>
    <t xml:space="preserve">Кингисепп/Ленинградская область </t>
  </si>
  <si>
    <t xml:space="preserve">Афины/Греция </t>
  </si>
  <si>
    <t>Хаматдинов Д.</t>
  </si>
  <si>
    <t>Пономарев С.</t>
  </si>
  <si>
    <t>Новиков С.</t>
  </si>
  <si>
    <t>Васев А.</t>
  </si>
  <si>
    <t>Голубев Я.</t>
  </si>
  <si>
    <t>Золотаренок А.</t>
  </si>
  <si>
    <t>Пилипишко Н.</t>
  </si>
  <si>
    <t>Ахтямов А.</t>
  </si>
  <si>
    <t>Гадиев Т.</t>
  </si>
  <si>
    <t>Антипов В.</t>
  </si>
  <si>
    <t>Пономарев В.</t>
  </si>
  <si>
    <t>Когадеева Д.</t>
  </si>
  <si>
    <t>Богданов К.</t>
  </si>
  <si>
    <t>Апинов Х.</t>
  </si>
  <si>
    <t>Крылов М.</t>
  </si>
  <si>
    <t>63,5</t>
  </si>
  <si>
    <t>72,0</t>
  </si>
  <si>
    <t>74,7</t>
  </si>
  <si>
    <t>99,0</t>
  </si>
  <si>
    <t>96,0</t>
  </si>
  <si>
    <t>136,4</t>
  </si>
  <si>
    <t>126,7</t>
  </si>
  <si>
    <t>159,3</t>
  </si>
  <si>
    <t>46,3</t>
  </si>
  <si>
    <t>50,9</t>
  </si>
  <si>
    <t>48,8</t>
  </si>
  <si>
    <t>51,4</t>
  </si>
  <si>
    <t>50,7</t>
  </si>
  <si>
    <t>55,9</t>
  </si>
  <si>
    <t>59,8</t>
  </si>
  <si>
    <t>64,9</t>
  </si>
  <si>
    <t>51,8</t>
  </si>
  <si>
    <t>53,7</t>
  </si>
  <si>
    <t>71,0</t>
  </si>
  <si>
    <t>81,2</t>
  </si>
  <si>
    <t>81,6</t>
  </si>
  <si>
    <t>82,1</t>
  </si>
  <si>
    <t>81,8</t>
  </si>
  <si>
    <t>83,8</t>
  </si>
  <si>
    <t>88,3</t>
  </si>
  <si>
    <t>85,9</t>
  </si>
  <si>
    <t>87,4</t>
  </si>
  <si>
    <t>91,8</t>
  </si>
  <si>
    <t>97,4</t>
  </si>
  <si>
    <t>97,6</t>
  </si>
  <si>
    <t>95,2</t>
  </si>
  <si>
    <t>108,6</t>
  </si>
  <si>
    <t>105,5</t>
  </si>
  <si>
    <t>120,3</t>
  </si>
  <si>
    <t>116,8</t>
  </si>
  <si>
    <t>Зубков П.</t>
  </si>
  <si>
    <t>Никитин В.</t>
  </si>
  <si>
    <t>Исаков  П.</t>
  </si>
  <si>
    <t>Ломова О.</t>
  </si>
  <si>
    <t>Харьковский С.</t>
  </si>
  <si>
    <t>Грачев Ю., Грачева Т.</t>
  </si>
  <si>
    <t>Астахов Д.</t>
  </si>
  <si>
    <t>Казанский Е.</t>
  </si>
  <si>
    <t>Бжассо М.</t>
  </si>
  <si>
    <t>Сухинин В.</t>
  </si>
  <si>
    <t>Юдин Г.</t>
  </si>
  <si>
    <t>Первышин Е.</t>
  </si>
  <si>
    <t>Бардин В.</t>
  </si>
  <si>
    <t>Лаушкин А.</t>
  </si>
  <si>
    <t>Ломов И.</t>
  </si>
  <si>
    <t>Соколов Н.</t>
  </si>
  <si>
    <t>Цыбаров Э.</t>
  </si>
  <si>
    <t>Цветков В.</t>
  </si>
  <si>
    <t>Зеленоград/Московская область</t>
  </si>
  <si>
    <t>73,1</t>
  </si>
  <si>
    <t>99,8</t>
  </si>
  <si>
    <t>106,0</t>
  </si>
  <si>
    <t>114,5</t>
  </si>
  <si>
    <t>102,7</t>
  </si>
  <si>
    <t>74,1</t>
  </si>
  <si>
    <t>74,4</t>
  </si>
  <si>
    <t>78,4</t>
  </si>
  <si>
    <t>89,2</t>
  </si>
  <si>
    <t>88,4</t>
  </si>
  <si>
    <t>95,5</t>
  </si>
  <si>
    <t>105,8</t>
  </si>
  <si>
    <t>106,3</t>
  </si>
  <si>
    <t>100,1</t>
  </si>
  <si>
    <t>103,1</t>
  </si>
  <si>
    <t>115,4</t>
  </si>
  <si>
    <t>112,7</t>
  </si>
  <si>
    <t>Вятские Поляны/Кировская область</t>
  </si>
  <si>
    <t xml:space="preserve">Павлов М. </t>
  </si>
  <si>
    <t>Смирнов О.</t>
  </si>
  <si>
    <t>Быховец А.</t>
  </si>
  <si>
    <t>Кровиков А.</t>
  </si>
  <si>
    <t xml:space="preserve">Ольховский А. </t>
  </si>
  <si>
    <t>Товстоног М.</t>
  </si>
  <si>
    <t>Никитинский А.</t>
  </si>
  <si>
    <t>Исаков П.</t>
  </si>
  <si>
    <t xml:space="preserve">Мураткин А. </t>
  </si>
  <si>
    <t>Солодюк Д.</t>
  </si>
  <si>
    <t>Безуглов Н., Николаев М.</t>
  </si>
  <si>
    <t>Магнитогорск/Челябинская область</t>
  </si>
  <si>
    <t>Одесса/Украина</t>
  </si>
  <si>
    <t>Новый Уренгой/Ямало-Ненецкий АО</t>
  </si>
  <si>
    <t>Силушин А.</t>
  </si>
  <si>
    <t>Пахомов А.</t>
  </si>
  <si>
    <t>Дроздов А.</t>
  </si>
  <si>
    <t>Попова О.</t>
  </si>
  <si>
    <t xml:space="preserve">Кровиков А. </t>
  </si>
  <si>
    <t xml:space="preserve">Электросталь/Московская область  </t>
  </si>
  <si>
    <t xml:space="preserve">Москва /Московская область </t>
  </si>
  <si>
    <t>Голландцев Д.</t>
  </si>
  <si>
    <t>Никандров А.</t>
  </si>
  <si>
    <t>Ломанов К.</t>
  </si>
  <si>
    <t>Авилов Е.</t>
  </si>
  <si>
    <t>Малецкая С.</t>
  </si>
  <si>
    <t>Кислов П.</t>
  </si>
  <si>
    <t>Ефименков П., Шарабайко А.</t>
  </si>
  <si>
    <t>Сёмин В.</t>
  </si>
  <si>
    <t>Прокопов М.</t>
  </si>
  <si>
    <t>Урванов В.</t>
  </si>
  <si>
    <t>Трошин А.</t>
  </si>
  <si>
    <t>Воробьев А.</t>
  </si>
  <si>
    <t>Иванченков Д.</t>
  </si>
  <si>
    <t>Ерофеев Р.</t>
  </si>
  <si>
    <t>Хамхоев М.</t>
  </si>
  <si>
    <t xml:space="preserve">Мельник В. </t>
  </si>
  <si>
    <t>Залуцкий Р.</t>
  </si>
  <si>
    <t>Емельянов А.</t>
  </si>
  <si>
    <t>Курицин М.</t>
  </si>
  <si>
    <t xml:space="preserve">Инютин А. </t>
  </si>
  <si>
    <t>Инютин А.</t>
  </si>
  <si>
    <t>Иванов Е.</t>
  </si>
  <si>
    <t>Илясов А.</t>
  </si>
  <si>
    <t xml:space="preserve">Исаков П. </t>
  </si>
  <si>
    <t>Папушой В.</t>
  </si>
  <si>
    <t>Мамедов Р.</t>
  </si>
  <si>
    <t>Прусов В.</t>
  </si>
  <si>
    <t>Курков А.</t>
  </si>
  <si>
    <t>Пастухова Л.</t>
  </si>
  <si>
    <t>Фокин В.</t>
  </si>
  <si>
    <t>Суровецкий А.</t>
  </si>
  <si>
    <t xml:space="preserve">Великие Луки/Псковская область  </t>
  </si>
  <si>
    <t>Валиуллин А.</t>
  </si>
  <si>
    <t xml:space="preserve">Степанова С. </t>
  </si>
  <si>
    <t>Адысев Д.</t>
  </si>
  <si>
    <t>Лисютин М</t>
  </si>
  <si>
    <t>Лукьянов А.</t>
  </si>
  <si>
    <t>Лукьянов С</t>
  </si>
  <si>
    <t>Лисютин М.</t>
  </si>
  <si>
    <t xml:space="preserve">Славинский И. </t>
  </si>
  <si>
    <t>Зорина М.</t>
  </si>
  <si>
    <t>Фирсаев Д.</t>
  </si>
  <si>
    <t>Калиниченко В.</t>
  </si>
  <si>
    <t>Логунов А.</t>
  </si>
  <si>
    <t>Дубина Н.</t>
  </si>
  <si>
    <t xml:space="preserve">Тимофеев О, Лахин С. </t>
  </si>
  <si>
    <t>Коляскин К.</t>
  </si>
  <si>
    <t>Чемпионат Европы IPL                                                                                                                                          Присед в бинтах ДК
г. Долгопрудный, 21 - 24 апреля 2016 г.</t>
  </si>
  <si>
    <t>230,5</t>
  </si>
  <si>
    <t>166,2480</t>
  </si>
  <si>
    <t>Чемпионат Европы IPL                                                                                                                                             Присед в бинтах 
г. Долгопрудный, 21 - 24 апреля 2016 г.</t>
  </si>
  <si>
    <t xml:space="preserve"> </t>
  </si>
  <si>
    <t>400,0</t>
  </si>
  <si>
    <t xml:space="preserve">Viktoria </t>
  </si>
  <si>
    <t xml:space="preserve">Maronikolakis Ioannis </t>
  </si>
  <si>
    <t xml:space="preserve">Tryfinopoulos Kontantinos </t>
  </si>
  <si>
    <t>203,7000</t>
  </si>
  <si>
    <t>ВЕСОВАЯ КАТЕГОРИЯ   +140</t>
  </si>
  <si>
    <t>Чемпионат Европы IPL                                                                                                                                          Присед без экипировки ДК
г. Долгопрудный, 21 - 24 апреля 2016 г.</t>
  </si>
  <si>
    <t>Чемпионат Европы IPL                                                                                                                                     Присед без экипировки 
г. Долгопрудный, 21 - 24 апреля 2016 г.</t>
  </si>
  <si>
    <t>Чемпионат Европы IPL                                                                                                                                          Присед в однослойной экипировке ДК
г. Долгопрудный, 21 - 24 апреля 2016 г.</t>
  </si>
  <si>
    <t>Чемпионат Европы IPL                                                                                                                                  Присед в однослойной экипировке 
г. Долгопрудный, 21 - 24 апреля 2016 г.</t>
  </si>
  <si>
    <t>Чемпионат Европы IPL                                                                                                                                              Силовое двоеборье в экипировке 
г. Долгопрудный, 21 - 24 апреля 2016 г.</t>
  </si>
  <si>
    <t>Чемпионат Европы IPL                                                                                                                                                                                                      Силовое двоеборье без экипировки 
г. Долгопрудный, 21 - 24 апреля 2016 г.</t>
  </si>
  <si>
    <t>Лично</t>
  </si>
  <si>
    <t>Чемпионат Европы IPL                                                                                                                                                                                                        Силовое двоеборье без экипировки ДК
г. Долгопрудный, 21 - 24 апреля 2016 г.</t>
  </si>
  <si>
    <t>248.8640</t>
  </si>
  <si>
    <t>188,9550</t>
  </si>
  <si>
    <t>238,0000</t>
  </si>
  <si>
    <t>223,2032</t>
  </si>
  <si>
    <t>202,3840</t>
  </si>
  <si>
    <t>221,3575</t>
  </si>
  <si>
    <t>253,9150</t>
  </si>
  <si>
    <t xml:space="preserve">188,8755 </t>
  </si>
  <si>
    <t>129,9572</t>
  </si>
  <si>
    <t>158,6865</t>
  </si>
  <si>
    <t>75</t>
  </si>
  <si>
    <t>Душанбе/Кыргыстан</t>
  </si>
  <si>
    <t>100</t>
  </si>
  <si>
    <t>Ханья/Греция</t>
  </si>
  <si>
    <t>156,5380</t>
  </si>
  <si>
    <t>Белкин Ю.</t>
  </si>
  <si>
    <t xml:space="preserve">Никитинский А.  </t>
  </si>
  <si>
    <t>173,0700</t>
  </si>
  <si>
    <t>301,2700</t>
  </si>
  <si>
    <t>200,7770</t>
  </si>
  <si>
    <t>148,6500</t>
  </si>
  <si>
    <t>171,7800</t>
  </si>
  <si>
    <t>Гореликов Д.</t>
  </si>
  <si>
    <t xml:space="preserve">Гавана/Куба </t>
  </si>
  <si>
    <t>Чемпионат Европы IPL                                                                                                                                              Становая тяга без экипировки ДК
г. Долгопрудный, 21 - 24 апреля 2016 г.</t>
  </si>
  <si>
    <t>Кашан/Иран</t>
  </si>
  <si>
    <t>Сари/Иран</t>
  </si>
  <si>
    <t>Санандэй/Иран</t>
  </si>
  <si>
    <t>Женщины</t>
  </si>
  <si>
    <t>Iran</t>
  </si>
  <si>
    <t>Масхад/Иран</t>
  </si>
  <si>
    <t>132,0220</t>
  </si>
  <si>
    <t>121,9230</t>
  </si>
  <si>
    <t>121,0320</t>
  </si>
  <si>
    <t>172,4355</t>
  </si>
  <si>
    <t>117,2250</t>
  </si>
  <si>
    <t>103,5575</t>
  </si>
  <si>
    <t>Сборная Санкт Петербурга</t>
  </si>
  <si>
    <t>168,7562</t>
  </si>
  <si>
    <t>130,8930</t>
  </si>
  <si>
    <t>140,4830</t>
  </si>
  <si>
    <t>155,2720</t>
  </si>
  <si>
    <t>99,5680</t>
  </si>
  <si>
    <t>Чемпионат Европы IPL                                                                                                                                    Жим лежа в многослойной экипировке ДК
г. Долгопрудный, 21 - 24 апреля 2016 г.</t>
  </si>
  <si>
    <t>Чемпионат Европы IPL                                                                                                                                         Жим лежа в многослойной экипировке
г. Долгопрудный, 21 - 24 апреля 2016 г.</t>
  </si>
  <si>
    <t>Чемпионат Европы IPL                                                                                                                                            Жим лежа в однослойной экипировке ДК
г. Долгопрудный, 21 - 24 апреля 2016 г.</t>
  </si>
  <si>
    <t>Чемпионат Европы IPL                                                                                                                                                                                         Жим лежа без экипировки ДК
г. Долгопрудный, 21 - 24 апреля 2016 г.</t>
  </si>
  <si>
    <t>Чемпионат Европы IPL                                                                                                                                                           Жим лежа без экипировки
г. Долгопрудный, 21 - 24 апреля 2016 г.</t>
  </si>
  <si>
    <t>Чемпионат Европы IPL                                                                                                                                             Пауэрлифтинг в многослойной экипировке ДК
г. Долгопрудный, 21 - 24 апреля 2016 г.</t>
  </si>
  <si>
    <t>Чемпионат Европы IPL                                                                                                                                                                          Пауэрлифтинг в однослойной экипировке
г. Долгопрудный, 21 - 24 апреля 2016 г.</t>
  </si>
  <si>
    <t>Чемпионат Европы IPL                                                                                                                                                                                          Пауэрлифтинг в бинтах ДК
г. Долгопрудный, 21 - 24 апреля 2016 г.</t>
  </si>
  <si>
    <t>Чемпионат Европы IPL                                                                                                                                                                                         Пауэрлифтинг в бинтах
г. Долгопрудный, 21 - 24 апреля 2016 г.</t>
  </si>
  <si>
    <t>Чемпионат Европы IPL                                                                                                                                                                                                            Пауэрлифтинг без экипировки ДК
г. Долгопрудный, 21 - 24 апреля 2016 г.</t>
  </si>
  <si>
    <t>Чемпионат Европы IPL                                                                                                                                                                    Пауэрлифтинг без экипировки
г. Долгопрудный, 21 - 24 апреля 2016 г.</t>
  </si>
  <si>
    <t>127,1615</t>
  </si>
  <si>
    <t>155,3715</t>
  </si>
  <si>
    <t>141,4000</t>
  </si>
  <si>
    <t>130,1040</t>
  </si>
  <si>
    <t>148,9320</t>
  </si>
  <si>
    <t>Чемпионат Европы IPL                                                                                                                                                                                              Пауэрлифтинг в однослойной экипировке ДК
г. Долгопрудный, 21 - 24 апреля 2016 г.</t>
  </si>
  <si>
    <t>Чемпионат Европы IPL                                                                                                                                                            Становая тяга без экипировки 
г. Долгопрудный, 21 - 24 апреля 2016 г.</t>
  </si>
  <si>
    <t>Жуманьязов Ж.</t>
  </si>
  <si>
    <t>Tryfinopoulos Kontantinos</t>
  </si>
  <si>
    <t>Лесуков А.</t>
  </si>
  <si>
    <t>152,0750</t>
  </si>
  <si>
    <t>133,7625</t>
  </si>
  <si>
    <t>Головинский Д.</t>
  </si>
  <si>
    <t>118,1880</t>
  </si>
  <si>
    <t>149,4770</t>
  </si>
  <si>
    <t>90</t>
  </si>
  <si>
    <t>128,4580</t>
  </si>
  <si>
    <t>84,7280</t>
  </si>
  <si>
    <t>59,1185</t>
  </si>
  <si>
    <t>75,3000</t>
  </si>
  <si>
    <t>32,5</t>
  </si>
  <si>
    <t>20,0</t>
  </si>
  <si>
    <t>65.0</t>
  </si>
  <si>
    <t>71,6365</t>
  </si>
  <si>
    <t>78,2875</t>
  </si>
  <si>
    <t>92,7945</t>
  </si>
  <si>
    <t>105,2120</t>
  </si>
  <si>
    <t>73,9410</t>
  </si>
  <si>
    <t>90,7065</t>
  </si>
  <si>
    <t>104,6250</t>
  </si>
  <si>
    <t>67,0795</t>
  </si>
  <si>
    <t>111,3805</t>
  </si>
  <si>
    <t>88,7220</t>
  </si>
  <si>
    <t>86,2750</t>
  </si>
  <si>
    <t>56,0970</t>
  </si>
  <si>
    <t>88,8862</t>
  </si>
  <si>
    <t>85,0112</t>
  </si>
  <si>
    <t>1</t>
  </si>
  <si>
    <t>2</t>
  </si>
  <si>
    <t>3</t>
  </si>
  <si>
    <t>4</t>
  </si>
  <si>
    <t>5</t>
  </si>
  <si>
    <t>6</t>
  </si>
  <si>
    <t>7</t>
  </si>
  <si>
    <t>8</t>
  </si>
  <si>
    <t>412,9210</t>
  </si>
  <si>
    <t>424,6875</t>
  </si>
  <si>
    <t>308,9970</t>
  </si>
  <si>
    <t>257,2200</t>
  </si>
  <si>
    <t>414,6190</t>
  </si>
  <si>
    <t>403,4977</t>
  </si>
  <si>
    <t>395,3687</t>
  </si>
  <si>
    <t>321,8945</t>
  </si>
  <si>
    <t>462,5722</t>
  </si>
  <si>
    <t>279,5760</t>
  </si>
  <si>
    <t>378,8400</t>
  </si>
  <si>
    <t>404,7607</t>
  </si>
  <si>
    <t xml:space="preserve">Ивачев </t>
  </si>
  <si>
    <t>208,7940</t>
  </si>
  <si>
    <t>275,7037</t>
  </si>
  <si>
    <t>347,5985</t>
  </si>
  <si>
    <t>323,8042</t>
  </si>
  <si>
    <t>354,1165</t>
  </si>
  <si>
    <t>378,8735</t>
  </si>
  <si>
    <t xml:space="preserve">Степанов А. </t>
  </si>
  <si>
    <t>481,2000</t>
  </si>
  <si>
    <t xml:space="preserve">Сыктывкар/Республика Коми </t>
  </si>
  <si>
    <t>446,4680</t>
  </si>
  <si>
    <t>446,1795</t>
  </si>
  <si>
    <t xml:space="preserve">192,5 </t>
  </si>
  <si>
    <t>427,1187</t>
  </si>
  <si>
    <t>360,4905</t>
  </si>
  <si>
    <t>467,3025</t>
  </si>
  <si>
    <t xml:space="preserve">Воркута/Республика Коми </t>
  </si>
  <si>
    <t xml:space="preserve">Казань/Республика Татарстан </t>
  </si>
  <si>
    <t xml:space="preserve">Машхад/ Греция </t>
  </si>
  <si>
    <t xml:space="preserve">Севастополь/Республика Крым </t>
  </si>
  <si>
    <t>Шабалин Д.</t>
  </si>
  <si>
    <t xml:space="preserve">Петрозаводск/Республика Карелия </t>
  </si>
  <si>
    <t xml:space="preserve">Бобров В.  </t>
  </si>
  <si>
    <t xml:space="preserve">Набережные Челны/Республика Татарстан </t>
  </si>
  <si>
    <t xml:space="preserve">Назрань/Республика Ингушетия </t>
  </si>
  <si>
    <t>Астара/Иран</t>
  </si>
  <si>
    <t xml:space="preserve">Кронштадт/Ленинградская обасть </t>
  </si>
  <si>
    <t>98,2100</t>
  </si>
  <si>
    <t>Сербин А.</t>
  </si>
  <si>
    <t>Палей А.</t>
  </si>
  <si>
    <t>Ли А.</t>
  </si>
  <si>
    <t>Александров Гай/Саратовская область</t>
  </si>
  <si>
    <t>Open (10.06.2000)/15</t>
  </si>
  <si>
    <t xml:space="preserve">67,5 </t>
  </si>
  <si>
    <t>137,5087</t>
  </si>
  <si>
    <t>340,5500</t>
  </si>
  <si>
    <t>332,2265</t>
  </si>
  <si>
    <t>214,8267</t>
  </si>
  <si>
    <t>271,6250</t>
  </si>
  <si>
    <t>412,2750</t>
  </si>
  <si>
    <t>403,7120</t>
  </si>
  <si>
    <t>434,9800</t>
  </si>
  <si>
    <t>Чемпионат Европы СПР Пауэрспорт</t>
  </si>
  <si>
    <t>Весовая категория               Дата рождения/возраст</t>
  </si>
  <si>
    <t>Gloss</t>
  </si>
  <si>
    <t>Город/ область</t>
  </si>
  <si>
    <t>Подъем на бицес</t>
  </si>
  <si>
    <t>Армейский жим</t>
  </si>
  <si>
    <t>Juniors 20-23 (19.07.1993)/22</t>
  </si>
  <si>
    <t>0,7027</t>
  </si>
  <si>
    <t>96,6144</t>
  </si>
  <si>
    <t>74,40</t>
  </si>
  <si>
    <t>0,6927</t>
  </si>
  <si>
    <t>119,4821</t>
  </si>
  <si>
    <t>0,6892</t>
  </si>
  <si>
    <t>94,7650</t>
  </si>
  <si>
    <t>0,6913</t>
  </si>
  <si>
    <t>79,4938</t>
  </si>
  <si>
    <t>Open (14.02.1988)/28</t>
  </si>
  <si>
    <t>81,70</t>
  </si>
  <si>
    <t>0,6487</t>
  </si>
  <si>
    <t>115,1442</t>
  </si>
  <si>
    <t>Грушин Владимир</t>
  </si>
  <si>
    <t>Open (04.12.1985)/30</t>
  </si>
  <si>
    <t>0,6157</t>
  </si>
  <si>
    <t xml:space="preserve">ФАПО </t>
  </si>
  <si>
    <t>118,5223</t>
  </si>
  <si>
    <t>0,6145</t>
  </si>
  <si>
    <t xml:space="preserve">Бобруйск/Белоруссия </t>
  </si>
  <si>
    <t>112,1554</t>
  </si>
  <si>
    <t>Open (07.12.1983)/32</t>
  </si>
  <si>
    <t>92,00</t>
  </si>
  <si>
    <t>0,6047</t>
  </si>
  <si>
    <t>87,6815</t>
  </si>
  <si>
    <t>Masters 40-49 (05.06.1974)/41</t>
  </si>
  <si>
    <t>99,20</t>
  </si>
  <si>
    <t>0,5833</t>
  </si>
  <si>
    <t>97,2069</t>
  </si>
  <si>
    <t>103,80</t>
  </si>
  <si>
    <t>0,5730</t>
  </si>
  <si>
    <t>91,6720</t>
  </si>
  <si>
    <t>Open (21.06.1985)/30</t>
  </si>
  <si>
    <t>0,5681</t>
  </si>
  <si>
    <t xml:space="preserve">Котлас/Архангельская область </t>
  </si>
  <si>
    <t>92,3162</t>
  </si>
  <si>
    <t>Арсентьев Иван</t>
  </si>
  <si>
    <t>Open (04.06.1976)/39</t>
  </si>
  <si>
    <t>113,20</t>
  </si>
  <si>
    <t>0,5583</t>
  </si>
  <si>
    <t>122,8260</t>
  </si>
  <si>
    <t>Янковская А.</t>
  </si>
  <si>
    <t xml:space="preserve">Gloss </t>
  </si>
  <si>
    <t xml:space="preserve">125,0 </t>
  </si>
  <si>
    <t xml:space="preserve">75,0 </t>
  </si>
  <si>
    <t>г. Долгопрудный, 21 - 24 апреля 2016 г.</t>
  </si>
  <si>
    <t>Open (09.10.1981)/34</t>
  </si>
  <si>
    <t>58,8</t>
  </si>
  <si>
    <t>1,0037</t>
  </si>
  <si>
    <t>72,7683</t>
  </si>
  <si>
    <t>Янковский Андрей</t>
  </si>
  <si>
    <t>Teen 13-19 (20.03.2001)/15</t>
  </si>
  <si>
    <t>58,2</t>
  </si>
  <si>
    <t>0,8582</t>
  </si>
  <si>
    <t>68,6560</t>
  </si>
  <si>
    <t xml:space="preserve">Арсентьев И. </t>
  </si>
  <si>
    <t>Open (25.06.1990)/25</t>
  </si>
  <si>
    <t>0,7494</t>
  </si>
  <si>
    <t>89,9220</t>
  </si>
  <si>
    <t>Сакович Олег</t>
  </si>
  <si>
    <t>Juniors 20-23 (21.08.1992)/23</t>
  </si>
  <si>
    <t>72,7</t>
  </si>
  <si>
    <t>0,7049</t>
  </si>
  <si>
    <t xml:space="preserve">Зеленоградск/Калининградская область </t>
  </si>
  <si>
    <t>116,3003</t>
  </si>
  <si>
    <t>0,6983</t>
  </si>
  <si>
    <t xml:space="preserve">Кишинев/Молдова </t>
  </si>
  <si>
    <t>96,0163</t>
  </si>
  <si>
    <t xml:space="preserve">Юшин А. </t>
  </si>
  <si>
    <t>Панов Петр</t>
  </si>
  <si>
    <t>Juniors 20-23 (20.12.1993)/22</t>
  </si>
  <si>
    <t xml:space="preserve">Люберцы </t>
  </si>
  <si>
    <t>91,3445</t>
  </si>
  <si>
    <t>Юшин Алексей</t>
  </si>
  <si>
    <t>Open (09.10.1982)/33</t>
  </si>
  <si>
    <t>0,6998</t>
  </si>
  <si>
    <t xml:space="preserve">Верея/Московская область </t>
  </si>
  <si>
    <t>111,9600</t>
  </si>
  <si>
    <t>Мушкаев Александр</t>
  </si>
  <si>
    <t>Open (28.06.1977)/38</t>
  </si>
  <si>
    <t>73,9</t>
  </si>
  <si>
    <t>0,6962</t>
  </si>
  <si>
    <t xml:space="preserve">Ногинск/Московская область </t>
  </si>
  <si>
    <t>Петров Егор</t>
  </si>
  <si>
    <t>Teen 13-19 (09.05.1996)/19</t>
  </si>
  <si>
    <t>80,2</t>
  </si>
  <si>
    <t>0,6567</t>
  </si>
  <si>
    <t>91,9380</t>
  </si>
  <si>
    <t>Поляков А.</t>
  </si>
  <si>
    <t>Teen 13-19 (05.08.2001)/14</t>
  </si>
  <si>
    <t>0,6641</t>
  </si>
  <si>
    <t>56,4485</t>
  </si>
  <si>
    <t>Хорев Артур</t>
  </si>
  <si>
    <t>Open (14.10.1986)/29</t>
  </si>
  <si>
    <t>0,6682</t>
  </si>
  <si>
    <t xml:space="preserve">Лыткарино/Московская область </t>
  </si>
  <si>
    <t>108,5744</t>
  </si>
  <si>
    <t>Open (21.06.1988)/27</t>
  </si>
  <si>
    <t>77,3</t>
  </si>
  <si>
    <t>0,6737</t>
  </si>
  <si>
    <t>Сестрорецк/Ленинградская область</t>
  </si>
  <si>
    <t>101,0475</t>
  </si>
  <si>
    <t>Поплевкин А.</t>
  </si>
  <si>
    <t>Open (15.03.1983)/33</t>
  </si>
  <si>
    <t>79,5</t>
  </si>
  <si>
    <t>0,6606</t>
  </si>
  <si>
    <t>89,1810</t>
  </si>
  <si>
    <t>78,6</t>
  </si>
  <si>
    <t>0,6658</t>
  </si>
  <si>
    <t>88,2251</t>
  </si>
  <si>
    <t>Коврига А.</t>
  </si>
  <si>
    <t>Open (14.07.1985)/30</t>
  </si>
  <si>
    <t>0,6578</t>
  </si>
  <si>
    <t>83,8695</t>
  </si>
  <si>
    <t>0,6471</t>
  </si>
  <si>
    <t>82,5116</t>
  </si>
  <si>
    <t>0,6595</t>
  </si>
  <si>
    <t>80,7888</t>
  </si>
  <si>
    <t>Masters 40-49 (04.12.1973)/42</t>
  </si>
  <si>
    <t>84,1619</t>
  </si>
  <si>
    <t>Juniors 20-23 (02.03.1993)/23</t>
  </si>
  <si>
    <t>83,4</t>
  </si>
  <si>
    <t>0,6402</t>
  </si>
  <si>
    <t xml:space="preserve">Sport Dom team </t>
  </si>
  <si>
    <t>80,0188</t>
  </si>
  <si>
    <t>Букалов Алексей</t>
  </si>
  <si>
    <t>Open (10.12.1976)/39</t>
  </si>
  <si>
    <t>0,6192</t>
  </si>
  <si>
    <t>92,8875</t>
  </si>
  <si>
    <t>Поляков Андрей</t>
  </si>
  <si>
    <t>Open (09.06.1974)/41</t>
  </si>
  <si>
    <t>0,6130</t>
  </si>
  <si>
    <t xml:space="preserve">Дзержинск/Нижегородская область </t>
  </si>
  <si>
    <t>91,9500</t>
  </si>
  <si>
    <t>86,9</t>
  </si>
  <si>
    <t>0,6242</t>
  </si>
  <si>
    <t>81,1525</t>
  </si>
  <si>
    <t>Masters 40-49 (09.06.1974)/41</t>
  </si>
  <si>
    <t>92,8695</t>
  </si>
  <si>
    <t>Open (27.05.1983)/32</t>
  </si>
  <si>
    <t>92,4</t>
  </si>
  <si>
    <t>0,6033</t>
  </si>
  <si>
    <t xml:space="preserve">Щёлково/Московская область </t>
  </si>
  <si>
    <t>93,5115</t>
  </si>
  <si>
    <t>Open (22.06.1976)/39</t>
  </si>
  <si>
    <t>0,5875</t>
  </si>
  <si>
    <t>88,1175</t>
  </si>
  <si>
    <t>Гредягин Александр</t>
  </si>
  <si>
    <t>Open (17.11.1974)/41</t>
  </si>
  <si>
    <t>98,6</t>
  </si>
  <si>
    <t>0,5848</t>
  </si>
  <si>
    <t>78,9480</t>
  </si>
  <si>
    <t xml:space="preserve">Первушин Е. </t>
  </si>
  <si>
    <t>Masters 40-49 (17.11.1974)/41</t>
  </si>
  <si>
    <t>79,7375</t>
  </si>
  <si>
    <t>Open (06.07.1981)/34</t>
  </si>
  <si>
    <t>0,5663</t>
  </si>
  <si>
    <t>104,7655</t>
  </si>
  <si>
    <t xml:space="preserve">Юноши 13 - 19 </t>
  </si>
  <si>
    <t xml:space="preserve">60,0 </t>
  </si>
  <si>
    <t xml:space="preserve">Мастера 40 - 49 </t>
  </si>
  <si>
    <t xml:space="preserve">0 </t>
  </si>
  <si>
    <t>Чемпионат Европы СПР                                                                                                                                        Жим лежа в SOFT экипировке</t>
  </si>
  <si>
    <t>1,0149</t>
  </si>
  <si>
    <t xml:space="preserve">Москва </t>
  </si>
  <si>
    <t>71,0430</t>
  </si>
  <si>
    <t>0,8483</t>
  </si>
  <si>
    <t>93,3185</t>
  </si>
  <si>
    <t>Open (12.02.1976)/40</t>
  </si>
  <si>
    <t>71,1</t>
  </si>
  <si>
    <t>0,8670</t>
  </si>
  <si>
    <t>65,0250</t>
  </si>
  <si>
    <t>Masters 40-49 (12.02.1976)/40</t>
  </si>
  <si>
    <t>Teen 13-19 (03.09.1997)/18</t>
  </si>
  <si>
    <t>0,6122</t>
  </si>
  <si>
    <t>88,7762</t>
  </si>
  <si>
    <t>Open (14.11.1981)/34</t>
  </si>
  <si>
    <t>169,8994</t>
  </si>
  <si>
    <t>85,4</t>
  </si>
  <si>
    <t>0,6308</t>
  </si>
  <si>
    <t>138,7760</t>
  </si>
  <si>
    <t>Open (20.09.1985)/30</t>
  </si>
  <si>
    <t>87,3</t>
  </si>
  <si>
    <t>0,6226</t>
  </si>
  <si>
    <t>124,5200</t>
  </si>
  <si>
    <t>0,6209</t>
  </si>
  <si>
    <t xml:space="preserve">Воркута/Коми </t>
  </si>
  <si>
    <t>80,7170</t>
  </si>
  <si>
    <t>97,0</t>
  </si>
  <si>
    <t>0,5891</t>
  </si>
  <si>
    <t>147,2750</t>
  </si>
  <si>
    <t>Juniors 20-23 (26.05.1992)/23</t>
  </si>
  <si>
    <t xml:space="preserve">Кемерово/Кемеровская область </t>
  </si>
  <si>
    <t>117,8200</t>
  </si>
  <si>
    <t>Мещеряков Сергей</t>
  </si>
  <si>
    <t>Open (28.01.1978)/38</t>
  </si>
  <si>
    <t>0,5878</t>
  </si>
  <si>
    <t>138,1213</t>
  </si>
  <si>
    <t>Teen 13-19 (10.02.1998)/18</t>
  </si>
  <si>
    <t>0,5683</t>
  </si>
  <si>
    <t>134,9713</t>
  </si>
  <si>
    <t>103,3</t>
  </si>
  <si>
    <t>0,5740</t>
  </si>
  <si>
    <t>172,2000</t>
  </si>
  <si>
    <t>Open (03.06.1975)/40</t>
  </si>
  <si>
    <t>108,5</t>
  </si>
  <si>
    <t>0,5647</t>
  </si>
  <si>
    <t xml:space="preserve">Котельники/Московская область </t>
  </si>
  <si>
    <t>155,2925</t>
  </si>
  <si>
    <t>Хузин Р.</t>
  </si>
  <si>
    <t>Masters 40-49 (03.06.1975)/40</t>
  </si>
  <si>
    <t xml:space="preserve">Хузин Р. </t>
  </si>
  <si>
    <t>Open (23.07.1986)/29</t>
  </si>
  <si>
    <t>111,0</t>
  </si>
  <si>
    <t>0,5611</t>
  </si>
  <si>
    <t>134,6640</t>
  </si>
  <si>
    <t>Open (02.02.1991)/25</t>
  </si>
  <si>
    <t>110,6</t>
  </si>
  <si>
    <t>0,5616</t>
  </si>
  <si>
    <t>101,0970</t>
  </si>
  <si>
    <t>Masters 40-49 (07.08.1972)/43</t>
  </si>
  <si>
    <t>119,2</t>
  </si>
  <si>
    <t>0,5518</t>
  </si>
  <si>
    <t>125,1479</t>
  </si>
  <si>
    <t>Громов С.</t>
  </si>
  <si>
    <t>Залуцкий Роман</t>
  </si>
  <si>
    <t>Open (31.01.1979)/37</t>
  </si>
  <si>
    <t>126,8</t>
  </si>
  <si>
    <t>0,5435</t>
  </si>
  <si>
    <t>172,5740</t>
  </si>
  <si>
    <t>Соловьев Вячеслав</t>
  </si>
  <si>
    <t>Open (10.08.1976)/39</t>
  </si>
  <si>
    <t>159,9</t>
  </si>
  <si>
    <t>0,5160</t>
  </si>
  <si>
    <t>188,3290</t>
  </si>
  <si>
    <t>Грачев А.</t>
  </si>
  <si>
    <t xml:space="preserve">140,0 </t>
  </si>
  <si>
    <t>Чемпионат Европы СПР                                                                                                                                             Жим лежа СФО
г. Долгопрудный, 21 - 24 апреля 2016 г.</t>
  </si>
  <si>
    <t>Чемпионат Европы СПР                                                                                                                                        Жим лежа в SOFT экипировке ДК</t>
  </si>
  <si>
    <t>1,1790</t>
  </si>
  <si>
    <t>79,5825</t>
  </si>
  <si>
    <t>Teen 13-19 (10.10.1996)/19</t>
  </si>
  <si>
    <t>1,1076</t>
  </si>
  <si>
    <t>88,6080</t>
  </si>
  <si>
    <t>Прокопова Елена</t>
  </si>
  <si>
    <t>Masters 50-59 (07.03.1966)/50</t>
  </si>
  <si>
    <t>60,9</t>
  </si>
  <si>
    <t>0,9759</t>
  </si>
  <si>
    <t>Juniors 20-23 (30.10.1994)/21</t>
  </si>
  <si>
    <t>68,8</t>
  </si>
  <si>
    <t>0,8871</t>
  </si>
  <si>
    <t>70,9720</t>
  </si>
  <si>
    <t xml:space="preserve">Наторкин М. </t>
  </si>
  <si>
    <t>Open (31.12.1988)/27</t>
  </si>
  <si>
    <t>0,8530</t>
  </si>
  <si>
    <t>Хузин Ринат</t>
  </si>
  <si>
    <t>Open (14.06.1969)/46</t>
  </si>
  <si>
    <t>0,6940</t>
  </si>
  <si>
    <t>140,5350</t>
  </si>
  <si>
    <t>Open (29.04.1981)/34</t>
  </si>
  <si>
    <t>107,1438</t>
  </si>
  <si>
    <t>Masters 40-49 (12.05.1971)/44</t>
  </si>
  <si>
    <t>127,4572</t>
  </si>
  <si>
    <t>Силушин П.</t>
  </si>
  <si>
    <t>Open (06.07.1985)/30</t>
  </si>
  <si>
    <t>134,2836</t>
  </si>
  <si>
    <t>Трунов М.</t>
  </si>
  <si>
    <t>Masters 40-49 (30.09.1972)/43</t>
  </si>
  <si>
    <t>0,6503</t>
  </si>
  <si>
    <t>93,8571</t>
  </si>
  <si>
    <t xml:space="preserve">Силушин П. </t>
  </si>
  <si>
    <t>Juniors 20-23 (21.12.1993)/22</t>
  </si>
  <si>
    <t>88,7</t>
  </si>
  <si>
    <t>0,6169</t>
  </si>
  <si>
    <t>123,3700</t>
  </si>
  <si>
    <t>Сухарев А.</t>
  </si>
  <si>
    <t>Сухарев Андрей</t>
  </si>
  <si>
    <t>Open (22.07.1974)/41</t>
  </si>
  <si>
    <t>98,0</t>
  </si>
  <si>
    <t>0,5864</t>
  </si>
  <si>
    <t>150,9851</t>
  </si>
  <si>
    <t>Open (30.10.1976)/39</t>
  </si>
  <si>
    <t>0,5896</t>
  </si>
  <si>
    <t>129,7230</t>
  </si>
  <si>
    <t>Open (20.02.1985)/31</t>
  </si>
  <si>
    <t>0,5831</t>
  </si>
  <si>
    <t xml:space="preserve">Электроугли/Московская область </t>
  </si>
  <si>
    <t>118,0676</t>
  </si>
  <si>
    <t>99,9</t>
  </si>
  <si>
    <t>0,5816</t>
  </si>
  <si>
    <t>116,3100</t>
  </si>
  <si>
    <t>Masters 40-49 (22.07.1974)/41</t>
  </si>
  <si>
    <t>152,4950</t>
  </si>
  <si>
    <t>Masters 50-59 (10.06.1956)/59</t>
  </si>
  <si>
    <t>94,7</t>
  </si>
  <si>
    <t>0,5958</t>
  </si>
  <si>
    <t>148,8731</t>
  </si>
  <si>
    <t>Гаврилова О.</t>
  </si>
  <si>
    <t>Masters 50-59 (10.05.1963)/52</t>
  </si>
  <si>
    <t>96,7</t>
  </si>
  <si>
    <t>0,5900</t>
  </si>
  <si>
    <t>103,0938</t>
  </si>
  <si>
    <t>Кудашкин Александр</t>
  </si>
  <si>
    <t>0,5666</t>
  </si>
  <si>
    <t>120,4131</t>
  </si>
  <si>
    <t>Юрасов Роман</t>
  </si>
  <si>
    <t>Open (16.03.1976)/40</t>
  </si>
  <si>
    <t>155,8287</t>
  </si>
  <si>
    <t>Open (04.04.1985)/31</t>
  </si>
  <si>
    <t>101,4</t>
  </si>
  <si>
    <t>0,5781</t>
  </si>
  <si>
    <t>98,2685</t>
  </si>
  <si>
    <t>Филин И.</t>
  </si>
  <si>
    <t>Masters 40-49 (16.03.1976)/40</t>
  </si>
  <si>
    <t>Оглоблин Денис</t>
  </si>
  <si>
    <t>Open (12.05.1967)/48</t>
  </si>
  <si>
    <t>122,3</t>
  </si>
  <si>
    <t>0,5486</t>
  </si>
  <si>
    <t>137,1375</t>
  </si>
  <si>
    <t>Masters 40-49 (12.05.1967)/48</t>
  </si>
  <si>
    <t>150,4398</t>
  </si>
  <si>
    <t xml:space="preserve">Суровецкий А. </t>
  </si>
  <si>
    <t>Masters 50-59 (03.04.1964)/52</t>
  </si>
  <si>
    <t>117,6480</t>
  </si>
  <si>
    <t>39,0360</t>
  </si>
  <si>
    <t>85,3000</t>
  </si>
  <si>
    <t>Тоннаж</t>
  </si>
  <si>
    <t>Вес</t>
  </si>
  <si>
    <t>Повторы</t>
  </si>
  <si>
    <t>Головкина Юлия</t>
  </si>
  <si>
    <t>Open (23.04.1977)/39</t>
  </si>
  <si>
    <t>57,0</t>
  </si>
  <si>
    <t>1,0292</t>
  </si>
  <si>
    <t>17</t>
  </si>
  <si>
    <t>1006,0430</t>
  </si>
  <si>
    <t>Демчук А.</t>
  </si>
  <si>
    <t>0,9049</t>
  </si>
  <si>
    <t>21</t>
  </si>
  <si>
    <t>1282,6958</t>
  </si>
  <si>
    <t>0,7650</t>
  </si>
  <si>
    <t>22</t>
  </si>
  <si>
    <t>Open (17.06.1979)/36</t>
  </si>
  <si>
    <t>0,7733</t>
  </si>
  <si>
    <t>42</t>
  </si>
  <si>
    <t>2111,1090</t>
  </si>
  <si>
    <t>Павлов Максим</t>
  </si>
  <si>
    <t>Open (26.04.1986)/29</t>
  </si>
  <si>
    <t>69,9</t>
  </si>
  <si>
    <t>0,7271</t>
  </si>
  <si>
    <t xml:space="preserve">Канаш/Чувашия </t>
  </si>
  <si>
    <t>101</t>
  </si>
  <si>
    <t>5140,5971</t>
  </si>
  <si>
    <t>Джомиев А.</t>
  </si>
  <si>
    <t>0,7019</t>
  </si>
  <si>
    <t>Чурин Юрий</t>
  </si>
  <si>
    <t>Open (09.06.1971)/44</t>
  </si>
  <si>
    <t>74,8</t>
  </si>
  <si>
    <t>0,6899</t>
  </si>
  <si>
    <t>38</t>
  </si>
  <si>
    <t>Калита И.</t>
  </si>
  <si>
    <t>Masters 40-49 (09.06.1971)/44</t>
  </si>
  <si>
    <t xml:space="preserve">Калита И. </t>
  </si>
  <si>
    <t>Антипов Владимир</t>
  </si>
  <si>
    <t>Juniors 20-23 (15.02.1993)/23</t>
  </si>
  <si>
    <t>0,6670</t>
  </si>
  <si>
    <t>43</t>
  </si>
  <si>
    <t>2294,4800</t>
  </si>
  <si>
    <t>2295,7646</t>
  </si>
  <si>
    <t>Макаров Вячеслав</t>
  </si>
  <si>
    <t>Open (07.05.1975)/40</t>
  </si>
  <si>
    <t>76,7</t>
  </si>
  <si>
    <t>0,6773</t>
  </si>
  <si>
    <t>39</t>
  </si>
  <si>
    <t>2047,2903</t>
  </si>
  <si>
    <t>Захаров Игорь</t>
  </si>
  <si>
    <t>Open (31.07.1969)/46</t>
  </si>
  <si>
    <t xml:space="preserve">Киев/Украина </t>
  </si>
  <si>
    <t>2028,8152</t>
  </si>
  <si>
    <t>Скорина О.</t>
  </si>
  <si>
    <t>Masters 40-49 (07.05.1975)/40</t>
  </si>
  <si>
    <t>Masters 40-49 (31.07.1969)/46</t>
  </si>
  <si>
    <t>2166,7746</t>
  </si>
  <si>
    <t>Open (29.09.1975)/40</t>
  </si>
  <si>
    <t>89,0</t>
  </si>
  <si>
    <t>45</t>
  </si>
  <si>
    <t>2493,5850</t>
  </si>
  <si>
    <t>Open (21.04.1989)/27</t>
  </si>
  <si>
    <t>86,2</t>
  </si>
  <si>
    <t>0,6273</t>
  </si>
  <si>
    <t xml:space="preserve">Иваново/Ивановская область </t>
  </si>
  <si>
    <t>2140,4907</t>
  </si>
  <si>
    <t>Семуков Сергей</t>
  </si>
  <si>
    <t>Open (22.09.1983)/32</t>
  </si>
  <si>
    <t>89,4</t>
  </si>
  <si>
    <t>0,6141</t>
  </si>
  <si>
    <t>Гомель/Белоруссия</t>
  </si>
  <si>
    <t>2100,3930</t>
  </si>
  <si>
    <t>Фурман В.</t>
  </si>
  <si>
    <t>Open (01.10.1979)/36</t>
  </si>
  <si>
    <t>84,6</t>
  </si>
  <si>
    <t>0,6345</t>
  </si>
  <si>
    <t>33</t>
  </si>
  <si>
    <t>1779,6323</t>
  </si>
  <si>
    <t>Open (26.08.1976)/39</t>
  </si>
  <si>
    <t>23</t>
  </si>
  <si>
    <t>1267,3574</t>
  </si>
  <si>
    <t>Open (25.08.1988)/27</t>
  </si>
  <si>
    <t>0,6340</t>
  </si>
  <si>
    <t xml:space="preserve">Дрезна/Московская область </t>
  </si>
  <si>
    <t>1185,5800</t>
  </si>
  <si>
    <t>0,6259</t>
  </si>
  <si>
    <t>1204,9537</t>
  </si>
  <si>
    <t>14</t>
  </si>
  <si>
    <t>762,6850</t>
  </si>
  <si>
    <t>Игнатов Виталий</t>
  </si>
  <si>
    <t>Juniors 20-23 (28.12.1995)/20</t>
  </si>
  <si>
    <t>94,3</t>
  </si>
  <si>
    <t>0,5971</t>
  </si>
  <si>
    <t>31</t>
  </si>
  <si>
    <t>1758,4596</t>
  </si>
  <si>
    <t>0,5838</t>
  </si>
  <si>
    <t>26</t>
  </si>
  <si>
    <t>1517,8800</t>
  </si>
  <si>
    <t>Juniors 20-23 (03.12.1995)/20</t>
  </si>
  <si>
    <t>0,5919</t>
  </si>
  <si>
    <t xml:space="preserve">Луховицы/Московская область </t>
  </si>
  <si>
    <t>1327,4479</t>
  </si>
  <si>
    <t>1263,6195</t>
  </si>
  <si>
    <t>Open (11.08.1981)/34</t>
  </si>
  <si>
    <t>91,2</t>
  </si>
  <si>
    <t>0,6075</t>
  </si>
  <si>
    <t>36</t>
  </si>
  <si>
    <t>2022,9751</t>
  </si>
  <si>
    <t>Open (26.05.1992)/23</t>
  </si>
  <si>
    <t>Смирнов Денис</t>
  </si>
  <si>
    <t>Open (18.12.1978)/37</t>
  </si>
  <si>
    <t>99,6</t>
  </si>
  <si>
    <t>0,5823</t>
  </si>
  <si>
    <t>Masters 40-49 (25.01.1969)/47</t>
  </si>
  <si>
    <t>94,8</t>
  </si>
  <si>
    <t>0,5955</t>
  </si>
  <si>
    <t>28</t>
  </si>
  <si>
    <t>1713,9204</t>
  </si>
  <si>
    <t>46</t>
  </si>
  <si>
    <t>2772,4200</t>
  </si>
  <si>
    <t>Бардин Владимир</t>
  </si>
  <si>
    <t>Open (13.01.1985)/31</t>
  </si>
  <si>
    <t>0,5767</t>
  </si>
  <si>
    <t>2541,8051</t>
  </si>
  <si>
    <t>35</t>
  </si>
  <si>
    <t>2130,7037</t>
  </si>
  <si>
    <t>Open (23.11.1978)/37</t>
  </si>
  <si>
    <t>106,9</t>
  </si>
  <si>
    <t>0,5673</t>
  </si>
  <si>
    <t>18</t>
  </si>
  <si>
    <t>1097,7255</t>
  </si>
  <si>
    <t>Masters 40-49 (21.05.1971)/44</t>
  </si>
  <si>
    <t>0,5680</t>
  </si>
  <si>
    <t>1783,0393</t>
  </si>
  <si>
    <t>113,2</t>
  </si>
  <si>
    <t>2118,7486</t>
  </si>
  <si>
    <t>Луценко Андрей</t>
  </si>
  <si>
    <t>Open (06.09.1980)/35</t>
  </si>
  <si>
    <t>0,5591</t>
  </si>
  <si>
    <t>29</t>
  </si>
  <si>
    <t>1824,2268</t>
  </si>
  <si>
    <t>Open (15.07.1991)/24</t>
  </si>
  <si>
    <t>113,8</t>
  </si>
  <si>
    <t>0,5576</t>
  </si>
  <si>
    <t>1346,6041</t>
  </si>
  <si>
    <t xml:space="preserve">Головинский Д. </t>
  </si>
  <si>
    <t>Open (10.07.1983)/32</t>
  </si>
  <si>
    <t>114,7</t>
  </si>
  <si>
    <t>0,5566</t>
  </si>
  <si>
    <t>Open (28.02.1980)/36</t>
  </si>
  <si>
    <t>125,7</t>
  </si>
  <si>
    <t>0,5447</t>
  </si>
  <si>
    <t>1250,0866</t>
  </si>
  <si>
    <t>0,5343</t>
  </si>
  <si>
    <t>13</t>
  </si>
  <si>
    <t>954,9719</t>
  </si>
  <si>
    <t>1417,5</t>
  </si>
  <si>
    <t>977,5</t>
  </si>
  <si>
    <t>3440,0</t>
  </si>
  <si>
    <t>2945,0</t>
  </si>
  <si>
    <t>2600,0</t>
  </si>
  <si>
    <t>7070,0</t>
  </si>
  <si>
    <t>4830,0</t>
  </si>
  <si>
    <t>4407,5</t>
  </si>
  <si>
    <t>3022,5</t>
  </si>
  <si>
    <t>3135,0</t>
  </si>
  <si>
    <t>1925,0</t>
  </si>
  <si>
    <t>Чемпионат Европы СПР                                                                                                                                      Народный жим (1 вес)</t>
  </si>
  <si>
    <t xml:space="preserve">Дмитриев Э. </t>
  </si>
  <si>
    <t xml:space="preserve">Букина В. </t>
  </si>
  <si>
    <t>1472,6250</t>
  </si>
  <si>
    <t>1472,2070</t>
  </si>
  <si>
    <t>1966,2150</t>
  </si>
  <si>
    <t>2050,7620</t>
  </si>
  <si>
    <t>2850,0</t>
  </si>
  <si>
    <t>Чемпионат Европы СПР                                                                                                                                 Народный жим (1 вес) ДК</t>
  </si>
  <si>
    <t>Open (18.11.1989)/26</t>
  </si>
  <si>
    <t>62,1</t>
  </si>
  <si>
    <t>0,8061</t>
  </si>
  <si>
    <t>63,9</t>
  </si>
  <si>
    <t>0,7851</t>
  </si>
  <si>
    <t>28,0</t>
  </si>
  <si>
    <t>Силантьев Кирилл</t>
  </si>
  <si>
    <t>Teen 13-19 (24.08.1998)/17</t>
  </si>
  <si>
    <t>0,7172</t>
  </si>
  <si>
    <t>24,0</t>
  </si>
  <si>
    <t>Open (06.01.1978)/38</t>
  </si>
  <si>
    <t>69,5</t>
  </si>
  <si>
    <t>0,7304</t>
  </si>
  <si>
    <t>34,0</t>
  </si>
  <si>
    <t>32,0</t>
  </si>
  <si>
    <t>Дегтярёв Егор</t>
  </si>
  <si>
    <t>Open (04.09.1989)/26</t>
  </si>
  <si>
    <t>74,3</t>
  </si>
  <si>
    <t>0,6934</t>
  </si>
  <si>
    <t>Быков Николай</t>
  </si>
  <si>
    <t>Masters 50-59 (08.01.1962)/54</t>
  </si>
  <si>
    <t>0,6885</t>
  </si>
  <si>
    <t>Долгопрудный/Московская область</t>
  </si>
  <si>
    <t>33,0</t>
  </si>
  <si>
    <t>Juniors 20-23 (16.10.1992)/23</t>
  </si>
  <si>
    <t>0,6492</t>
  </si>
  <si>
    <t>23,0</t>
  </si>
  <si>
    <t>76,9</t>
  </si>
  <si>
    <t>0,6761</t>
  </si>
  <si>
    <t>41,0</t>
  </si>
  <si>
    <t>Masters 40-49 (06.08.1975)/40</t>
  </si>
  <si>
    <t>80,6</t>
  </si>
  <si>
    <t>0,6545</t>
  </si>
  <si>
    <t>Open (28.08.1988)/27</t>
  </si>
  <si>
    <t>85,8</t>
  </si>
  <si>
    <t>0,6290</t>
  </si>
  <si>
    <t>12,0</t>
  </si>
  <si>
    <t>Open (26.02.1980)/36</t>
  </si>
  <si>
    <t>0,6181</t>
  </si>
  <si>
    <t>Open (05.07.1987)/28</t>
  </si>
  <si>
    <t>0,6177</t>
  </si>
  <si>
    <t>31,0</t>
  </si>
  <si>
    <t>Котов Олег</t>
  </si>
  <si>
    <t>Masters 40-49 (25.04.1966)/49</t>
  </si>
  <si>
    <t>0,6251</t>
  </si>
  <si>
    <t>Masters 40-49 (14.07.1969)/46</t>
  </si>
  <si>
    <t>93,2</t>
  </si>
  <si>
    <t>0,6007</t>
  </si>
  <si>
    <t>26,0</t>
  </si>
  <si>
    <t>Open (31.05.1976)/39</t>
  </si>
  <si>
    <t>Фаворский Д.</t>
  </si>
  <si>
    <t>Open (29.09.1967)/48</t>
  </si>
  <si>
    <t>36,0</t>
  </si>
  <si>
    <t>Masters 40-49 (29.09.1967)/48</t>
  </si>
  <si>
    <t>Чанцев Виктор</t>
  </si>
  <si>
    <t>Masters 50-59 (02.09.1957)/58</t>
  </si>
  <si>
    <t>91,3</t>
  </si>
  <si>
    <t>0,6071</t>
  </si>
  <si>
    <t>7,0</t>
  </si>
  <si>
    <t>Masters 40-49 (17.09.1974)/41</t>
  </si>
  <si>
    <t>102,8</t>
  </si>
  <si>
    <t>0,5750</t>
  </si>
  <si>
    <t>18,0</t>
  </si>
  <si>
    <t>Куротченко Игорь</t>
  </si>
  <si>
    <t>Masters 50-59 (20.03.1962)/54</t>
  </si>
  <si>
    <t>0,5692</t>
  </si>
  <si>
    <t>Open (19.10.1972)/43</t>
  </si>
  <si>
    <t>113,7</t>
  </si>
  <si>
    <t>0,5577</t>
  </si>
  <si>
    <t>16,0</t>
  </si>
  <si>
    <t>Masters 40-49 (19.10.1972)/43</t>
  </si>
  <si>
    <t>Open (17.11.1961)/54</t>
  </si>
  <si>
    <t>140,5</t>
  </si>
  <si>
    <t>0,5307</t>
  </si>
  <si>
    <t>10,0</t>
  </si>
  <si>
    <t>Masters 50-59 (17.11.1961)/54</t>
  </si>
  <si>
    <t>Чемпионат Европы СПР                                                                                                                                  Народный жим (1/2 вес)</t>
  </si>
  <si>
    <t>г. Долгопрудный 21 - 24 апреля 2016 г.</t>
  </si>
  <si>
    <t>Open (23.10.1981)/34</t>
  </si>
  <si>
    <t>52,4</t>
  </si>
  <si>
    <t>1,1009</t>
  </si>
  <si>
    <t>27,5</t>
  </si>
  <si>
    <t>990,0</t>
  </si>
  <si>
    <t>1089,8911</t>
  </si>
  <si>
    <t>Teen 13-19 (04.09.1998)/17</t>
  </si>
  <si>
    <t>52,2</t>
  </si>
  <si>
    <t>0,9623</t>
  </si>
  <si>
    <t xml:space="preserve">Гаврилов-Ямская ДЮСШ </t>
  </si>
  <si>
    <t xml:space="preserve">Гаврилов-Ям/Ярославская область </t>
  </si>
  <si>
    <t>2062,5</t>
  </si>
  <si>
    <t>1984,7438</t>
  </si>
  <si>
    <t>Худяков В.</t>
  </si>
  <si>
    <t>Селезнёв Евгений</t>
  </si>
  <si>
    <t>Teen 13-19 (03.04.1999)/17</t>
  </si>
  <si>
    <t>58,7</t>
  </si>
  <si>
    <t>0,8510</t>
  </si>
  <si>
    <t>88</t>
  </si>
  <si>
    <t>2640,0</t>
  </si>
  <si>
    <t>2246,5080</t>
  </si>
  <si>
    <t xml:space="preserve">Худяков В. </t>
  </si>
  <si>
    <t>Хролович Виталий</t>
  </si>
  <si>
    <t>Teen 13-19 (22.05.1999)/16</t>
  </si>
  <si>
    <t>0,8461</t>
  </si>
  <si>
    <t>183</t>
  </si>
  <si>
    <t>6862,5</t>
  </si>
  <si>
    <t>5806,0183</t>
  </si>
  <si>
    <t xml:space="preserve">Заболотников И. </t>
  </si>
  <si>
    <t>Бондарев Семён</t>
  </si>
  <si>
    <t>Teen 13-19 (28.12.1998)/17</t>
  </si>
  <si>
    <t>81,9</t>
  </si>
  <si>
    <t>0,6477</t>
  </si>
  <si>
    <t>73</t>
  </si>
  <si>
    <t>3102,5</t>
  </si>
  <si>
    <t>2009,3341</t>
  </si>
  <si>
    <t>Teen 13-19 (26.04.1998)/17</t>
  </si>
  <si>
    <t>0,6387</t>
  </si>
  <si>
    <t>72</t>
  </si>
  <si>
    <t>3060,0</t>
  </si>
  <si>
    <t>1954,4220</t>
  </si>
  <si>
    <t>1,0439</t>
  </si>
  <si>
    <t>770</t>
  </si>
  <si>
    <t>803,8030</t>
  </si>
  <si>
    <t>53,0</t>
  </si>
  <si>
    <t>1,0910</t>
  </si>
  <si>
    <t>Шумкова Анастасия</t>
  </si>
  <si>
    <t>Open (06.09.1978)/37</t>
  </si>
  <si>
    <t>0,9956</t>
  </si>
  <si>
    <t>Нижний Новгород/Нижегородская область</t>
  </si>
  <si>
    <t>44</t>
  </si>
  <si>
    <t xml:space="preserve">Сахарова Е. </t>
  </si>
  <si>
    <t>Родионова Дарья</t>
  </si>
  <si>
    <t>Open (13.02.1983)/33</t>
  </si>
  <si>
    <t>0,7987</t>
  </si>
  <si>
    <t>48</t>
  </si>
  <si>
    <t>Teen 13-19 (10.08.2000)/15</t>
  </si>
  <si>
    <t>51,0</t>
  </si>
  <si>
    <t>0,9875</t>
  </si>
  <si>
    <t xml:space="preserve">Родионова Д. </t>
  </si>
  <si>
    <t>Teen 13-19 (08.06.2002)/13</t>
  </si>
  <si>
    <t>57,6</t>
  </si>
  <si>
    <t>0,8672</t>
  </si>
  <si>
    <t>930</t>
  </si>
  <si>
    <t>806,4495</t>
  </si>
  <si>
    <t>Шабин Виктор</t>
  </si>
  <si>
    <t>Teen 13-19 (27.12.1999)/16</t>
  </si>
  <si>
    <t>0,8210</t>
  </si>
  <si>
    <t>92</t>
  </si>
  <si>
    <t>Родионова Д.</t>
  </si>
  <si>
    <t>105</t>
  </si>
  <si>
    <t>Черняев Дмитрий</t>
  </si>
  <si>
    <t>Teen 13-19 (04.06.1999)/16</t>
  </si>
  <si>
    <t>71,5</t>
  </si>
  <si>
    <t>0,7140</t>
  </si>
  <si>
    <t>64</t>
  </si>
  <si>
    <t>Teen 13-19 (11.09.1999)/16</t>
  </si>
  <si>
    <t>71,8</t>
  </si>
  <si>
    <t>0,7117</t>
  </si>
  <si>
    <t>47</t>
  </si>
  <si>
    <t>Teen 13-19 (23.12.1999)/16</t>
  </si>
  <si>
    <t>0,5885</t>
  </si>
  <si>
    <t>32</t>
  </si>
  <si>
    <t xml:space="preserve">Старый городок/Московская область </t>
  </si>
  <si>
    <t>390,0325</t>
  </si>
  <si>
    <t>1320</t>
  </si>
  <si>
    <t>1314,1920</t>
  </si>
  <si>
    <t>2040</t>
  </si>
  <si>
    <t>1182,5</t>
  </si>
  <si>
    <t>1167,7187</t>
  </si>
  <si>
    <t>2990</t>
  </si>
  <si>
    <t>2454,7900</t>
  </si>
  <si>
    <t>3937,5</t>
  </si>
  <si>
    <t>2400</t>
  </si>
  <si>
    <t>1713,5000</t>
  </si>
  <si>
    <t>1762,5</t>
  </si>
  <si>
    <t>1254,3712</t>
  </si>
  <si>
    <t>1600</t>
  </si>
  <si>
    <t>941,6000</t>
  </si>
  <si>
    <t>Чемпионат России САР                                                                                                                                Rolling Thunder</t>
  </si>
  <si>
    <t>Рек.</t>
  </si>
  <si>
    <t>Журавлёва Алёна</t>
  </si>
  <si>
    <t>Junior (19.05.1994)/21</t>
  </si>
  <si>
    <t>54,6</t>
  </si>
  <si>
    <t>35,5</t>
  </si>
  <si>
    <t>Open (19.05.1994)/21</t>
  </si>
  <si>
    <t>Цыганкова Ирина</t>
  </si>
  <si>
    <t>Open (21.06.1980)/35</t>
  </si>
  <si>
    <t>Нигматзянова Талия</t>
  </si>
  <si>
    <t>Open (13.08.1986)/29</t>
  </si>
  <si>
    <t>38,0</t>
  </si>
  <si>
    <t>43,0</t>
  </si>
  <si>
    <t>Жарков А.</t>
  </si>
  <si>
    <t>ВЕСОВАЯ КАТЕГОРИЯ   75+</t>
  </si>
  <si>
    <t>Кошурникова Галина</t>
  </si>
  <si>
    <t>Open (22.04.1968)/47</t>
  </si>
  <si>
    <t xml:space="preserve">Владивосток/Приморский край </t>
  </si>
  <si>
    <t>40,5</t>
  </si>
  <si>
    <t>Зеркова Е.</t>
  </si>
  <si>
    <t>Master 40+ (22.04.1968)/48</t>
  </si>
  <si>
    <t>90,2</t>
  </si>
  <si>
    <t>ВЕСОВАЯ КАТЕГОРИЯ   80</t>
  </si>
  <si>
    <t>Junior (10.01.1998)/18</t>
  </si>
  <si>
    <t>76,5</t>
  </si>
  <si>
    <t xml:space="preserve">Новомосковск/Тульская область </t>
  </si>
  <si>
    <t>68,0</t>
  </si>
  <si>
    <t>75,5</t>
  </si>
  <si>
    <t xml:space="preserve">Кириллов А. </t>
  </si>
  <si>
    <t>Open (10.01.1998)/18</t>
  </si>
  <si>
    <t>Дровосеков Виктор</t>
  </si>
  <si>
    <t>Open (13.03.1967)/49</t>
  </si>
  <si>
    <t>77,0</t>
  </si>
  <si>
    <t>Худяков Владимир</t>
  </si>
  <si>
    <t>Open (11.06.1984)/31</t>
  </si>
  <si>
    <t>63,0</t>
  </si>
  <si>
    <t>Филимонов Александр</t>
  </si>
  <si>
    <t>Junior (29.09.1996)/19</t>
  </si>
  <si>
    <t>83,5</t>
  </si>
  <si>
    <t>78,0</t>
  </si>
  <si>
    <t>Киселев Игорь</t>
  </si>
  <si>
    <t>Junior (22.12.1992)/23</t>
  </si>
  <si>
    <t>Житарев Иван</t>
  </si>
  <si>
    <t>Junior (08.05.1992)/23</t>
  </si>
  <si>
    <t>Open (29.09.1996)/19</t>
  </si>
  <si>
    <t>Шевченко Сергей</t>
  </si>
  <si>
    <t>Open (30.04.1974)/41</t>
  </si>
  <si>
    <t>Open (08.05.1992)/23</t>
  </si>
  <si>
    <t>Master 40+ (30.04.1974)/41</t>
  </si>
  <si>
    <t>Master 40+ (13.03.1967)/49</t>
  </si>
  <si>
    <t>70,5</t>
  </si>
  <si>
    <t>Можаров Александр</t>
  </si>
  <si>
    <t>Master 40+ (05.10.1965)/50</t>
  </si>
  <si>
    <t>Мацкевич С.</t>
  </si>
  <si>
    <t>Open (29.01.1987)/29</t>
  </si>
  <si>
    <t>Open (06.03.1984)/32</t>
  </si>
  <si>
    <t xml:space="preserve">Шония А. </t>
  </si>
  <si>
    <t>Open (10.04.1981)/35</t>
  </si>
  <si>
    <t>98,5</t>
  </si>
  <si>
    <t>Грушин В.</t>
  </si>
  <si>
    <t>Мамонов Павел</t>
  </si>
  <si>
    <t>Open (03.01.1991)/25</t>
  </si>
  <si>
    <t>92,1</t>
  </si>
  <si>
    <t xml:space="preserve">Екатеринбург/Свердловская область </t>
  </si>
  <si>
    <t>Кулясов Сергей</t>
  </si>
  <si>
    <t>Open (11.09.1982)/33</t>
  </si>
  <si>
    <t>101,0</t>
  </si>
  <si>
    <t>90,5</t>
  </si>
  <si>
    <t>107,6</t>
  </si>
  <si>
    <t>Пеньковский Роман</t>
  </si>
  <si>
    <t>Open (10.05.1993)/22</t>
  </si>
  <si>
    <t>93,5</t>
  </si>
  <si>
    <t>Open (25.10.1979)/36</t>
  </si>
  <si>
    <t>118,4</t>
  </si>
  <si>
    <t>Фаворский Денис</t>
  </si>
  <si>
    <t>Open (16.07.1971)/44</t>
  </si>
  <si>
    <t>112,6</t>
  </si>
  <si>
    <t>ВЕСОВАЯ КАТЕГОРИЯ   100+</t>
  </si>
  <si>
    <t>Junior (19.06.1995)/20</t>
  </si>
  <si>
    <t>105,4</t>
  </si>
  <si>
    <t>87,0</t>
  </si>
  <si>
    <t>ВЕСОВАЯ КАТЕГОРИЯ   125+</t>
  </si>
  <si>
    <t>Шарков Андрей</t>
  </si>
  <si>
    <t>Open (01.01.1975)/41</t>
  </si>
  <si>
    <t>130,6</t>
  </si>
  <si>
    <t xml:space="preserve">Горбунов В. </t>
  </si>
  <si>
    <t>Master 40+ (01.01.1975)/41</t>
  </si>
  <si>
    <t>130,60</t>
  </si>
  <si>
    <t>Кириллов Александр</t>
  </si>
  <si>
    <t>Master 40+ (04.03.1973)/43</t>
  </si>
  <si>
    <t>123,40</t>
  </si>
  <si>
    <t>Master 40+ (10.04.1963)/53</t>
  </si>
  <si>
    <t xml:space="preserve">Навашино/Нижегородская область </t>
  </si>
  <si>
    <t xml:space="preserve">Бериташвили И. </t>
  </si>
  <si>
    <t>Master 40+ (16.07.1971)/44</t>
  </si>
  <si>
    <t>112,60</t>
  </si>
  <si>
    <t xml:space="preserve">75+ </t>
  </si>
  <si>
    <t xml:space="preserve">Юниоры </t>
  </si>
  <si>
    <t xml:space="preserve">100+ </t>
  </si>
  <si>
    <t xml:space="preserve">125+ </t>
  </si>
  <si>
    <t xml:space="preserve">Мастера 40+ </t>
  </si>
  <si>
    <t>Чемпионат России САР                                                                                                                                  Apollon Axle</t>
  </si>
  <si>
    <t>Junior (12.11.1996)/19</t>
  </si>
  <si>
    <t>Open (25.03.1993)/23</t>
  </si>
  <si>
    <t>Master 40+ (05.06.1971)/44</t>
  </si>
  <si>
    <t>71,3</t>
  </si>
  <si>
    <t>Junior (22.04.1968)/48</t>
  </si>
  <si>
    <t>ВЕСОВАЯ КАТЕГОРИЯ   70</t>
  </si>
  <si>
    <t>Журба Владислав</t>
  </si>
  <si>
    <t>Junior (15.02.1996)/20</t>
  </si>
  <si>
    <t>Open (16.06.1993)/22</t>
  </si>
  <si>
    <t>67,3</t>
  </si>
  <si>
    <t>Кириллов А.</t>
  </si>
  <si>
    <t>Junior (25.03.1999)/17</t>
  </si>
  <si>
    <t>78,5</t>
  </si>
  <si>
    <t>Junior (14.01.1995)/21</t>
  </si>
  <si>
    <t>Junior (29.01.1993)/23</t>
  </si>
  <si>
    <t>Open (01.02.1989)/27</t>
  </si>
  <si>
    <t>Open (02.12.1991)/24</t>
  </si>
  <si>
    <t>Шевченко С.</t>
  </si>
  <si>
    <t>Junior (02.03.1993)/23</t>
  </si>
  <si>
    <t>Junior (03.09.1997)/18</t>
  </si>
  <si>
    <t>Кука Евгений</t>
  </si>
  <si>
    <t>Open (20.06.1988)/27</t>
  </si>
  <si>
    <t>Open (07.01.1994)/22</t>
  </si>
  <si>
    <t>Open (09.10.1991)/24</t>
  </si>
  <si>
    <t>88,6</t>
  </si>
  <si>
    <t>Челноков А.</t>
  </si>
  <si>
    <t>Master 40+ (09.06.1974)/41</t>
  </si>
  <si>
    <t>Мещеряков Андрей</t>
  </si>
  <si>
    <t>Master 40+ (28.10.1965)/50</t>
  </si>
  <si>
    <t>75,7</t>
  </si>
  <si>
    <t xml:space="preserve">Ступино/Московская область </t>
  </si>
  <si>
    <t>Open (22.02.1991)/25</t>
  </si>
  <si>
    <t>99,4</t>
  </si>
  <si>
    <t>Панин Алексей</t>
  </si>
  <si>
    <t>Open (26.06.1985)/30</t>
  </si>
  <si>
    <t>Open (19.06.1995)/20</t>
  </si>
  <si>
    <t>Савинов Алексей</t>
  </si>
  <si>
    <t>Open (18.11.1972)/43</t>
  </si>
  <si>
    <t>108,4</t>
  </si>
  <si>
    <t>Open (11.11.1989)/26</t>
  </si>
  <si>
    <t>108,0</t>
  </si>
  <si>
    <t>Open (02.04.1979)/37</t>
  </si>
  <si>
    <t>106,7</t>
  </si>
  <si>
    <t>Ейбог Александр</t>
  </si>
  <si>
    <t>Open (20.09.1979)/36</t>
  </si>
  <si>
    <t>Асиновский Александр</t>
  </si>
  <si>
    <t>Open (17.06.1978)/37</t>
  </si>
  <si>
    <t>110,1</t>
  </si>
  <si>
    <t>123,4</t>
  </si>
  <si>
    <t>Константинов Константин</t>
  </si>
  <si>
    <t>Master 40+ (05.02.1975)/41</t>
  </si>
  <si>
    <t>Master 40+ (18.11.1972)/43</t>
  </si>
  <si>
    <t>106,8</t>
  </si>
  <si>
    <t>Master 40+ (21.01.1973)/43</t>
  </si>
  <si>
    <t xml:space="preserve">Чехов/Московская область </t>
  </si>
  <si>
    <t xml:space="preserve">Можаров А. </t>
  </si>
  <si>
    <t xml:space="preserve">Симферополь/Республика Крым </t>
  </si>
  <si>
    <t>Чемпионат России САР                                                                                                                        Two handed pinch grip block</t>
  </si>
  <si>
    <t>21,0</t>
  </si>
  <si>
    <t>23,5</t>
  </si>
  <si>
    <t>28,5</t>
  </si>
  <si>
    <t>33,5</t>
  </si>
  <si>
    <t>38,5</t>
  </si>
  <si>
    <t>43,5</t>
  </si>
  <si>
    <t>Open (22.04.1968)/48</t>
  </si>
  <si>
    <t>90,9</t>
  </si>
  <si>
    <t>58,5</t>
  </si>
  <si>
    <t>68,5</t>
  </si>
  <si>
    <t>48,5</t>
  </si>
  <si>
    <t>61,0</t>
  </si>
  <si>
    <t>Курицын Алексей</t>
  </si>
  <si>
    <t>Open (10.07.1986)/29</t>
  </si>
  <si>
    <t>Master 40+ (20.12.1972)/43</t>
  </si>
  <si>
    <t>Фаустов Александр</t>
  </si>
  <si>
    <t>Open (21.02.1976)/40</t>
  </si>
  <si>
    <t>86,0</t>
  </si>
  <si>
    <t>Зинченко Валентин</t>
  </si>
  <si>
    <t>Open (11.11.1983)/32</t>
  </si>
  <si>
    <t>104,0</t>
  </si>
  <si>
    <t xml:space="preserve">Асиновский А. </t>
  </si>
  <si>
    <t>Master 40+ (21.02.1976)/40</t>
  </si>
  <si>
    <t xml:space="preserve">70,0 </t>
  </si>
  <si>
    <t>Чемпионат России САР                                                                                                                         HUB</t>
  </si>
  <si>
    <t>Open (01.11.1992)/23</t>
  </si>
  <si>
    <t>58,6</t>
  </si>
  <si>
    <t>15,0</t>
  </si>
  <si>
    <t>17,5</t>
  </si>
  <si>
    <t xml:space="preserve">Бояров А. </t>
  </si>
  <si>
    <t>12,5</t>
  </si>
  <si>
    <t>Master 40+ (21.03.1970)/46</t>
  </si>
  <si>
    <t xml:space="preserve">Казань/Татарстан </t>
  </si>
  <si>
    <t>Бояров Александр</t>
  </si>
  <si>
    <t>Open (21.07.1986)/29</t>
  </si>
  <si>
    <t>Виткевич Н.</t>
  </si>
  <si>
    <t>28,75</t>
  </si>
  <si>
    <t>Чемпионат России САР                                                                                                                             Excalibur</t>
  </si>
  <si>
    <t>37,0</t>
  </si>
  <si>
    <t>42,0</t>
  </si>
  <si>
    <t>74,5</t>
  </si>
  <si>
    <t>84,5</t>
  </si>
  <si>
    <t>92,0</t>
  </si>
  <si>
    <t>94,5</t>
  </si>
  <si>
    <t>107,0</t>
  </si>
  <si>
    <t>62,0</t>
  </si>
  <si>
    <t xml:space="preserve">Мацкевич С. </t>
  </si>
  <si>
    <t>104,5</t>
  </si>
  <si>
    <t xml:space="preserve">Виткевич Н. </t>
  </si>
  <si>
    <t>109,5</t>
  </si>
  <si>
    <t>128,2</t>
  </si>
  <si>
    <t xml:space="preserve">  </t>
  </si>
  <si>
    <t>Чемпионат России САР                                                                                                             Silver Bullet</t>
  </si>
  <si>
    <t>8,7</t>
  </si>
  <si>
    <t>18,6</t>
  </si>
  <si>
    <t>26,7</t>
  </si>
  <si>
    <t>Гаврилов-Ям/Ярославская область</t>
  </si>
  <si>
    <t>Всеволошний Иван</t>
  </si>
  <si>
    <t>Open (25.04.1988)/27</t>
  </si>
  <si>
    <t>0,6583</t>
  </si>
  <si>
    <t>Косинский Сергей</t>
  </si>
  <si>
    <t>Open (29.08.1984)/31</t>
  </si>
  <si>
    <t>66,5</t>
  </si>
  <si>
    <t>0.7580</t>
  </si>
  <si>
    <t>Емельянов Денис</t>
  </si>
  <si>
    <t>Open (25.07.1988)/27</t>
  </si>
  <si>
    <t xml:space="preserve">Смирновский Семен </t>
  </si>
  <si>
    <t>Open (16.10.1991)/24</t>
  </si>
  <si>
    <t>Железнодорожный/Московская область</t>
  </si>
  <si>
    <t>Open (19.05.1985)/30</t>
  </si>
  <si>
    <t>121,2490</t>
  </si>
  <si>
    <t>Синицын Семен</t>
  </si>
  <si>
    <t>Open (05.07.1990)/25</t>
  </si>
  <si>
    <t>Химки/Московская область</t>
  </si>
  <si>
    <t>Открытая</t>
  </si>
  <si>
    <t>60</t>
  </si>
  <si>
    <t>56</t>
  </si>
  <si>
    <t>Мужчины</t>
  </si>
  <si>
    <t>Юноши</t>
  </si>
  <si>
    <t>2275,0</t>
  </si>
  <si>
    <t>1820,0</t>
  </si>
  <si>
    <t>1740,0</t>
  </si>
  <si>
    <t>4500,0</t>
  </si>
  <si>
    <t>2380,0</t>
  </si>
  <si>
    <t>2400,0</t>
  </si>
  <si>
    <t>2475,0</t>
  </si>
  <si>
    <t>1897,5</t>
  </si>
  <si>
    <t>3177,5</t>
  </si>
  <si>
    <t>3150,0</t>
  </si>
  <si>
    <t>2790,0</t>
  </si>
  <si>
    <t>2100,0</t>
  </si>
  <si>
    <t>1080,0</t>
  </si>
  <si>
    <t>2250,0</t>
  </si>
  <si>
    <t>1050,0</t>
  </si>
  <si>
    <t>3510,0</t>
  </si>
  <si>
    <t>2470,0</t>
  </si>
  <si>
    <t>1890,0</t>
  </si>
  <si>
    <t>2150,0</t>
  </si>
  <si>
    <t>1840,0</t>
  </si>
  <si>
    <t>1425,0</t>
  </si>
  <si>
    <t>Смирновский Дмитрий</t>
  </si>
  <si>
    <t>Masters 40-49 (21.07.1975)/40</t>
  </si>
  <si>
    <t>0,6246</t>
  </si>
  <si>
    <t>10</t>
  </si>
  <si>
    <t>546,5690</t>
  </si>
  <si>
    <t>Juniors 20-23 (05.01.1993)/23</t>
  </si>
  <si>
    <t>0,5648</t>
  </si>
  <si>
    <t>15</t>
  </si>
  <si>
    <t>847,2750</t>
  </si>
  <si>
    <t>1833,7640</t>
  </si>
  <si>
    <t>1428,9730</t>
  </si>
  <si>
    <t>1248,0150</t>
  </si>
  <si>
    <t>3120,0750</t>
  </si>
  <si>
    <t>1738,4710</t>
  </si>
  <si>
    <t>1684,5600</t>
  </si>
  <si>
    <t>2051,8100</t>
  </si>
  <si>
    <t>1231,9520</t>
  </si>
  <si>
    <t>2148,3080</t>
  </si>
  <si>
    <t>1241,9410</t>
  </si>
  <si>
    <t>1947,0150</t>
  </si>
  <si>
    <t>1723,3830</t>
  </si>
  <si>
    <t>1320,9000</t>
  </si>
  <si>
    <t>1479,5270</t>
  </si>
  <si>
    <t>730,5230</t>
  </si>
  <si>
    <t>668,7900</t>
  </si>
  <si>
    <t>1701,7350</t>
  </si>
  <si>
    <t>1483,6060</t>
  </si>
  <si>
    <t>2271,5850</t>
  </si>
  <si>
    <t>1097,6180</t>
  </si>
  <si>
    <t>1473,4310</t>
  </si>
  <si>
    <t>1026,1680</t>
  </si>
  <si>
    <t>1057,9790</t>
  </si>
  <si>
    <t>75,6310</t>
  </si>
  <si>
    <t>91,0600</t>
  </si>
  <si>
    <t>Masters 40-49</t>
  </si>
  <si>
    <t>Masters 50-59</t>
  </si>
  <si>
    <t>Teen 13-19 (22.09.1996)/19</t>
  </si>
  <si>
    <t>101,2</t>
  </si>
  <si>
    <t>0,5785</t>
  </si>
  <si>
    <t>109,9150</t>
  </si>
  <si>
    <t>Juniors 20-23 (29.09.1992)/23</t>
  </si>
  <si>
    <t>128,9400</t>
  </si>
  <si>
    <t>Сотников Сергей</t>
  </si>
  <si>
    <t>Open (14.07.1973)/42</t>
  </si>
  <si>
    <t>Сырных Сергей</t>
  </si>
  <si>
    <t>Open (21.08.1990)/25</t>
  </si>
  <si>
    <t>Сущак Василий</t>
  </si>
  <si>
    <t>Open (21.06.1979)/36</t>
  </si>
  <si>
    <t>Open (15.03.1974)/42</t>
  </si>
  <si>
    <t>83,3300</t>
  </si>
  <si>
    <t>Лесницкий Сергей</t>
  </si>
  <si>
    <t>Open (07.09.1986)/29</t>
  </si>
  <si>
    <t>Спиродин Кирилл</t>
  </si>
  <si>
    <t>Open (16.11.1978)/37</t>
  </si>
  <si>
    <t>Open (30.05.1986)/29</t>
  </si>
  <si>
    <t>81,1965</t>
  </si>
  <si>
    <t>Open (22.11.1991)/24</t>
  </si>
  <si>
    <t>Рыблин Максим</t>
  </si>
  <si>
    <t>376,2150</t>
  </si>
  <si>
    <t xml:space="preserve">Таловая/Воронежская область </t>
  </si>
  <si>
    <t>Город/ область/страна</t>
  </si>
  <si>
    <t xml:space="preserve">Город/ область/страна
</t>
  </si>
  <si>
    <t>Алматы/Таджикистан</t>
  </si>
  <si>
    <t>Open (19.03.1989)/27</t>
  </si>
  <si>
    <t>89,9762</t>
  </si>
  <si>
    <t>Master 40+</t>
  </si>
  <si>
    <t>90,0+</t>
  </si>
  <si>
    <t>Чемпионат Европы по жимовому двоеборью                                                                                                                                                                Богатырский жим 160 килограммов</t>
  </si>
  <si>
    <t>21 - 24 апреля 2016 года</t>
  </si>
  <si>
    <t>Возрастная группа</t>
  </si>
  <si>
    <t>Год рождения/Возраст</t>
  </si>
  <si>
    <t>Собственный вес</t>
  </si>
  <si>
    <t>Страна/город/область</t>
  </si>
  <si>
    <t>Жим многоповторный</t>
  </si>
  <si>
    <t>Повторения</t>
  </si>
  <si>
    <t>Белоруссия/ Гомель</t>
  </si>
  <si>
    <t xml:space="preserve">160 </t>
  </si>
  <si>
    <t xml:space="preserve">7 </t>
  </si>
  <si>
    <t>1120</t>
  </si>
  <si>
    <t>825,0928</t>
  </si>
  <si>
    <t xml:space="preserve">Фурман В. </t>
  </si>
  <si>
    <t>Кирсанов Илья</t>
  </si>
  <si>
    <t>Open (25.03.1987)/29</t>
  </si>
  <si>
    <t>93,30</t>
  </si>
  <si>
    <t xml:space="preserve">12 </t>
  </si>
  <si>
    <t>1920</t>
  </si>
  <si>
    <t>1445,9904</t>
  </si>
  <si>
    <t>Есаков Алексей</t>
  </si>
  <si>
    <t>Open (13.11.1977)/38</t>
  </si>
  <si>
    <t xml:space="preserve">9 </t>
  </si>
  <si>
    <t>1440</t>
  </si>
  <si>
    <t>1069,8048</t>
  </si>
  <si>
    <t>Краснов Илья</t>
  </si>
  <si>
    <t xml:space="preserve">14 </t>
  </si>
  <si>
    <t>2240</t>
  </si>
  <si>
    <t>1659,8400</t>
  </si>
  <si>
    <t>Каштанов С.</t>
  </si>
  <si>
    <t>Masters 40-44 (29.09.1975)/40</t>
  </si>
  <si>
    <t>Грицак Александр</t>
  </si>
  <si>
    <t>Masters 50-54 (07.04.1963)/53</t>
  </si>
  <si>
    <t>100,90</t>
  </si>
  <si>
    <t xml:space="preserve">Качканар/Свердловская область </t>
  </si>
  <si>
    <t>640</t>
  </si>
  <si>
    <t>485,1200</t>
  </si>
  <si>
    <t>ВЕСОВАЯ КАТЕГОРИЯ   120</t>
  </si>
  <si>
    <t>160</t>
  </si>
  <si>
    <t xml:space="preserve">10 </t>
  </si>
  <si>
    <t>1215,9680</t>
  </si>
  <si>
    <t xml:space="preserve">Мужчины  </t>
  </si>
  <si>
    <t>Чемпионат Европы по жимовому двоеборью                                                                                                                                                                Военный жим/ многоповторный жим</t>
  </si>
  <si>
    <t>ВЕСОВАЯ КАТЕГОРИЯ   80 (вес штанги 50 кг)</t>
  </si>
  <si>
    <t>Доброжанский Вячеслав</t>
  </si>
  <si>
    <t>76,90</t>
  </si>
  <si>
    <t>50</t>
  </si>
  <si>
    <t>1050</t>
  </si>
  <si>
    <t>809,0775</t>
  </si>
  <si>
    <t>ВЕСОВАЯ КАТЕГОРИЯ   90 (вес штанги 50 кг)</t>
  </si>
  <si>
    <t>Open (28.01.1940)/76</t>
  </si>
  <si>
    <t>1750</t>
  </si>
  <si>
    <t>Рассказов Геннадий</t>
  </si>
  <si>
    <t>88,10</t>
  </si>
  <si>
    <t>Лосино-Петровский/Московская область</t>
  </si>
  <si>
    <t>110</t>
  </si>
  <si>
    <t>5500</t>
  </si>
  <si>
    <t>Мастерс 60+ (28.01.1940)/76</t>
  </si>
  <si>
    <t>600</t>
  </si>
  <si>
    <t>ВЕСОВАЯ КАТЕГОРИЯ   100 (вес штанги 50 кг)</t>
  </si>
  <si>
    <t>Гаршин Александр</t>
  </si>
  <si>
    <t>91,70</t>
  </si>
  <si>
    <t>61</t>
  </si>
  <si>
    <t>2700</t>
  </si>
  <si>
    <t>2005,8840</t>
  </si>
  <si>
    <t>Каштанов Сергей</t>
  </si>
  <si>
    <t>Open (28.07.1987)/28</t>
  </si>
  <si>
    <t>88,00</t>
  </si>
  <si>
    <t>Раменское/Московская область</t>
  </si>
  <si>
    <t>19</t>
  </si>
  <si>
    <t>1900</t>
  </si>
  <si>
    <t>27</t>
  </si>
  <si>
    <t>Open (20.03.1962)/54</t>
  </si>
  <si>
    <t>2200</t>
  </si>
  <si>
    <t>1633,2250</t>
  </si>
  <si>
    <t>Суставов Юрий</t>
  </si>
  <si>
    <t>400</t>
  </si>
  <si>
    <t>Рыбальченко Игорь</t>
  </si>
  <si>
    <t>Masters 50-54 (22.03.1966)/50</t>
  </si>
  <si>
    <t>25</t>
  </si>
  <si>
    <t>2500</t>
  </si>
  <si>
    <t>Masters 50-54 (20.03.1962)/54</t>
  </si>
  <si>
    <t>Поспелов Владимир</t>
  </si>
  <si>
    <t>128,8000</t>
  </si>
  <si>
    <t>Свеженцев Андрей</t>
  </si>
  <si>
    <t>123,4920</t>
  </si>
  <si>
    <t>4052,7875</t>
  </si>
  <si>
    <t>1411,2915</t>
  </si>
  <si>
    <t>299,000</t>
  </si>
  <si>
    <t>Мастерс 45-49</t>
  </si>
  <si>
    <t>Masters 60+ (29.06.1954)/61</t>
  </si>
  <si>
    <t>Мастера 60+ (21.02.1934)/82</t>
  </si>
  <si>
    <t>Мастерс 45-49 (04.09.1966)/49</t>
  </si>
  <si>
    <t>Open (02.10.1974)/41</t>
  </si>
  <si>
    <t>Мастерс 60+</t>
  </si>
  <si>
    <t>Чемпионат Европы по жимовому двоеборью                                                                                                                                                                Военный жим/ жим на максимум</t>
  </si>
  <si>
    <t>117,6290</t>
  </si>
  <si>
    <t>Open (08.10.1979)/36</t>
  </si>
  <si>
    <t>87,6003</t>
  </si>
  <si>
    <t>ВЕСОВАЯ КАТЕГОРИЯ   130+</t>
  </si>
  <si>
    <t>Алибегов Мурад</t>
  </si>
  <si>
    <t>Open (09.02.1977)/39</t>
  </si>
  <si>
    <t>124,50</t>
  </si>
  <si>
    <t>153,9810</t>
  </si>
  <si>
    <t xml:space="preserve">Барягин Л. </t>
  </si>
  <si>
    <t>Чемпионат Европы по жимовому двоеборью                                                                                                                                                                Военный жим/ жимовое двоеборье</t>
  </si>
  <si>
    <t>Жим на максимум</t>
  </si>
  <si>
    <t>Баллы</t>
  </si>
  <si>
    <t>Сумма баллов</t>
  </si>
  <si>
    <t>20</t>
  </si>
  <si>
    <t>40</t>
  </si>
  <si>
    <t xml:space="preserve">200,0 </t>
  </si>
  <si>
    <t>8291,5000</t>
  </si>
  <si>
    <t>Open (03.10.1981)/34</t>
  </si>
  <si>
    <t>87,60</t>
  </si>
  <si>
    <t>5950,9615</t>
  </si>
  <si>
    <t xml:space="preserve">Мазуркевич М. </t>
  </si>
  <si>
    <t>Хорхордин Игорь</t>
  </si>
  <si>
    <t>Masters 45-49 (15.06.1967)/48</t>
  </si>
  <si>
    <t xml:space="preserve">150,0 </t>
  </si>
  <si>
    <t>6247,7935</t>
  </si>
  <si>
    <t>Junior (05.05.1995)/20</t>
  </si>
  <si>
    <t xml:space="preserve">Касимов/Рязанская область </t>
  </si>
  <si>
    <t xml:space="preserve">170,0 </t>
  </si>
  <si>
    <t>7238,098</t>
  </si>
  <si>
    <t xml:space="preserve">190,0 </t>
  </si>
  <si>
    <t>7887,334</t>
  </si>
  <si>
    <t>Бакеев Адиль</t>
  </si>
  <si>
    <t>Masters 50-54 (27.10.1961)/54</t>
  </si>
  <si>
    <t>90,70</t>
  </si>
  <si>
    <t xml:space="preserve">120,0 </t>
  </si>
  <si>
    <t>4349,556</t>
  </si>
  <si>
    <t xml:space="preserve">220,0 </t>
  </si>
  <si>
    <t>9114,3000</t>
  </si>
  <si>
    <t xml:space="preserve">147,5 </t>
  </si>
  <si>
    <t>6013,2375</t>
  </si>
  <si>
    <t>Барягин Леонид</t>
  </si>
  <si>
    <t>Masters 50-54 (23.08.1961)/54</t>
  </si>
  <si>
    <t xml:space="preserve">165,0 </t>
  </si>
  <si>
    <t>6162,928</t>
  </si>
  <si>
    <t>Чемпионат Европы по жимовому двоеборью                                                                                                                                                                Софт экипировка/ многоповторный жим</t>
  </si>
  <si>
    <t>ВЕСОВАЯ КАТЕГОРИЯ   100 (жим собственного веса)</t>
  </si>
  <si>
    <t>Masters (05.08.1974)/41</t>
  </si>
  <si>
    <t>Рязань/Рязанская область</t>
  </si>
  <si>
    <t>54</t>
  </si>
  <si>
    <t>5400</t>
  </si>
  <si>
    <t>3983,2560</t>
  </si>
  <si>
    <t>Щеголев Алексей</t>
  </si>
  <si>
    <t>Open (26.03.1980)/36</t>
  </si>
  <si>
    <t xml:space="preserve">135 </t>
  </si>
  <si>
    <t>3780</t>
  </si>
  <si>
    <t>2804,2497</t>
  </si>
  <si>
    <t>Леонов Павел</t>
  </si>
  <si>
    <t>Open (08.11.1983)/32</t>
  </si>
  <si>
    <t>94,40</t>
  </si>
  <si>
    <t xml:space="preserve">150 </t>
  </si>
  <si>
    <t>6300</t>
  </si>
  <si>
    <t>4715,9280</t>
  </si>
  <si>
    <t>97,50</t>
  </si>
  <si>
    <t>3150</t>
  </si>
  <si>
    <t>2324,7000</t>
  </si>
  <si>
    <t>Иванчиков Сергей</t>
  </si>
  <si>
    <t xml:space="preserve">180 </t>
  </si>
  <si>
    <t>19,0</t>
  </si>
  <si>
    <t>3420</t>
  </si>
  <si>
    <t>2576,4570</t>
  </si>
  <si>
    <t>Чернов Денис</t>
  </si>
  <si>
    <t>Open (01.02.1992)/24</t>
  </si>
  <si>
    <t>127,40</t>
  </si>
  <si>
    <t xml:space="preserve">195 </t>
  </si>
  <si>
    <t>14,0</t>
  </si>
  <si>
    <t>2730</t>
  </si>
  <si>
    <t>2092,2584</t>
  </si>
  <si>
    <t>Чемпионат Европы по жимовому двоеборью                                                                                                                                                                Софт экипировка/ жим на максимум</t>
  </si>
  <si>
    <t>199,6160</t>
  </si>
  <si>
    <t>156,4650</t>
  </si>
  <si>
    <t xml:space="preserve">Masters 40-44 </t>
  </si>
  <si>
    <t xml:space="preserve">Masters 45-49 </t>
  </si>
  <si>
    <t xml:space="preserve">Masters 50-54 </t>
  </si>
  <si>
    <t>Чемпионат Европы по жимовому двоеборью                                                                                                                                                                Софт экипировка/ жимовое двоеборье</t>
  </si>
  <si>
    <t>Машков Валерий</t>
  </si>
  <si>
    <t>Open (22.02.1984)/32</t>
  </si>
  <si>
    <t>89,90</t>
  </si>
  <si>
    <t>Якимов Константин</t>
  </si>
  <si>
    <t>Open (25.05.1980)/35</t>
  </si>
  <si>
    <t>84,00</t>
  </si>
  <si>
    <t>135</t>
  </si>
  <si>
    <t>310</t>
  </si>
  <si>
    <t>320</t>
  </si>
  <si>
    <t>325</t>
  </si>
  <si>
    <t>150</t>
  </si>
  <si>
    <t>9089,7000</t>
  </si>
  <si>
    <t>12218,1780</t>
  </si>
  <si>
    <t>10399,7070</t>
  </si>
  <si>
    <t>Open (05.03.1988)/28</t>
  </si>
  <si>
    <t>117,10</t>
  </si>
  <si>
    <t>16</t>
  </si>
  <si>
    <t>10111,0230</t>
  </si>
  <si>
    <t>ВЕСОВАЯ КАТЕГОРИЯ   130</t>
  </si>
  <si>
    <t>126,80</t>
  </si>
  <si>
    <t>195</t>
  </si>
  <si>
    <t>13281,7393</t>
  </si>
  <si>
    <t>9756,2084</t>
  </si>
  <si>
    <t>205</t>
  </si>
  <si>
    <t>12717,5827</t>
  </si>
  <si>
    <t>Чемпионат Европы по жимовому двоеборью                                                                                                                                                                Армейский жим/ жимовое двоеборье</t>
  </si>
  <si>
    <t>60,00</t>
  </si>
  <si>
    <t>30</t>
  </si>
  <si>
    <t>40,00</t>
  </si>
  <si>
    <t>2791,7096</t>
  </si>
  <si>
    <t>64,00</t>
  </si>
  <si>
    <t>9</t>
  </si>
  <si>
    <t>2357,6780</t>
  </si>
  <si>
    <t>Open (08.03.1974)/42</t>
  </si>
  <si>
    <t>67,60</t>
  </si>
  <si>
    <t>41</t>
  </si>
  <si>
    <t>4052,9543</t>
  </si>
  <si>
    <t xml:space="preserve">Сухарев А. </t>
  </si>
  <si>
    <t>77,30</t>
  </si>
  <si>
    <t>2772,4416</t>
  </si>
  <si>
    <t>Junior (09.05.1996)/19</t>
  </si>
  <si>
    <t>81,00</t>
  </si>
  <si>
    <t>4015,2885</t>
  </si>
  <si>
    <t>Junior (21.12.1993)/22</t>
  </si>
  <si>
    <t>24</t>
  </si>
  <si>
    <t>3780,6948</t>
  </si>
  <si>
    <t>Итунин Тарас</t>
  </si>
  <si>
    <t>Open (27.07.1978)/37</t>
  </si>
  <si>
    <t>86,50</t>
  </si>
  <si>
    <t xml:space="preserve">Коломна/Московская область </t>
  </si>
  <si>
    <t>4648,3730</t>
  </si>
  <si>
    <t>Итунин Л.</t>
  </si>
  <si>
    <t>87,90</t>
  </si>
  <si>
    <t>4140,1978</t>
  </si>
  <si>
    <t>Masters 40-44 (09.06.1974)/41</t>
  </si>
  <si>
    <t>Смирнов Олег</t>
  </si>
  <si>
    <t>Open (22.01.1986)/30</t>
  </si>
  <si>
    <t>4864,3560</t>
  </si>
  <si>
    <t>Open (10.05.1963)/52</t>
  </si>
  <si>
    <t>2449,7925</t>
  </si>
  <si>
    <t>2880,6270</t>
  </si>
  <si>
    <t>55</t>
  </si>
  <si>
    <t>5092,1775</t>
  </si>
  <si>
    <t>101,00</t>
  </si>
  <si>
    <t>12</t>
  </si>
  <si>
    <t>2773,3650</t>
  </si>
  <si>
    <t>Лапин Анатолий</t>
  </si>
  <si>
    <t>Masters 55-59 (22.07.1960)/55</t>
  </si>
  <si>
    <t>100,70</t>
  </si>
  <si>
    <t>3554,1581</t>
  </si>
  <si>
    <t>Open (27.03.1982)/34</t>
  </si>
  <si>
    <t>138,40</t>
  </si>
  <si>
    <t>70</t>
  </si>
  <si>
    <t>4476,7206</t>
  </si>
  <si>
    <t>Мазуркевич Михаил</t>
  </si>
  <si>
    <t>Open (12.03.1982)/34</t>
  </si>
  <si>
    <t>132,50</t>
  </si>
  <si>
    <t>3985,2000</t>
  </si>
  <si>
    <t>Чемпионат Европы по жимовому двоеборью                                                                                                                                                                Профессионалы/ многоповторный жим</t>
  </si>
  <si>
    <t>Фотин Александр</t>
  </si>
  <si>
    <t>3040</t>
  </si>
  <si>
    <t>2349,1296</t>
  </si>
  <si>
    <t>Чемпионат Европы по жимовому двоеборью                                                                                                                                                                Профессионалы/ жим на максимум</t>
  </si>
  <si>
    <t>Лавров Дмитрий</t>
  </si>
  <si>
    <t>Open (08.01.1979)/37</t>
  </si>
  <si>
    <t>102,10</t>
  </si>
  <si>
    <t>Н.Новгород/Нижегородская область</t>
  </si>
  <si>
    <t>105,6475</t>
  </si>
  <si>
    <t xml:space="preserve">Грузия/ Тбилиси </t>
  </si>
  <si>
    <t>162,3930</t>
  </si>
  <si>
    <t xml:space="preserve">Masters 55-59 </t>
  </si>
  <si>
    <t>Чемпионат Европы по жимовому двоеборью                                                                                                                                                                Профессионалы/ жимовое двоеборье</t>
  </si>
  <si>
    <t>Греев Руслан</t>
  </si>
  <si>
    <t>Open (26.02.1986)/30</t>
  </si>
  <si>
    <t xml:space="preserve">Казахстан/ Тарас </t>
  </si>
  <si>
    <t>130</t>
  </si>
  <si>
    <t>34</t>
  </si>
  <si>
    <t>140</t>
  </si>
  <si>
    <t>7250,7500</t>
  </si>
  <si>
    <t>Open (13.08.1971)/44</t>
  </si>
  <si>
    <t>101,70</t>
  </si>
  <si>
    <t>11</t>
  </si>
  <si>
    <t>6831,9800</t>
  </si>
  <si>
    <t>Masters 40-44 (13.08.1971)/44</t>
  </si>
  <si>
    <t>Чемпионат Европы по жимовому двоеборью                                                                                                                                                                Любители/ многоповторный жим</t>
  </si>
  <si>
    <t>СССР</t>
  </si>
  <si>
    <t>2070</t>
  </si>
  <si>
    <t>1537,5650</t>
  </si>
  <si>
    <t>Junior (26.05.1992)/23</t>
  </si>
  <si>
    <t>2100</t>
  </si>
  <si>
    <t>1553,0760</t>
  </si>
  <si>
    <t>Ляшенко Александр</t>
  </si>
  <si>
    <t>Open (22.01.1977)/39</t>
  </si>
  <si>
    <t>95,00</t>
  </si>
  <si>
    <t>1791,3600</t>
  </si>
  <si>
    <t>Masters 40-44 / 44</t>
  </si>
  <si>
    <t>100,20</t>
  </si>
  <si>
    <t>2310</t>
  </si>
  <si>
    <t>1755,8888</t>
  </si>
  <si>
    <t>Open (23.08.1961)/54</t>
  </si>
  <si>
    <t>120</t>
  </si>
  <si>
    <t>986,5284</t>
  </si>
  <si>
    <t>Чемпионат Европы по жимовому двоеборью                                                                                                                                                                Любители/ жим на максимум</t>
  </si>
  <si>
    <t>Блетько Николай</t>
  </si>
  <si>
    <t>Open (22.12.1990)/25</t>
  </si>
  <si>
    <t>76,50</t>
  </si>
  <si>
    <t xml:space="preserve">Белоруссия/ Минск/Минская область </t>
  </si>
  <si>
    <t>130,0365</t>
  </si>
  <si>
    <t>95,5265</t>
  </si>
  <si>
    <t>107,2950</t>
  </si>
  <si>
    <t>Masters 45-49 (25.01.1969)/47</t>
  </si>
  <si>
    <t>Тула/Тульская область</t>
  </si>
  <si>
    <t>170</t>
  </si>
  <si>
    <t>99,5200</t>
  </si>
  <si>
    <t>Open (07.05.1987)/28</t>
  </si>
  <si>
    <t>107,2277</t>
  </si>
  <si>
    <t>146,8800</t>
  </si>
  <si>
    <t>Open / 22</t>
  </si>
  <si>
    <t>Junior 20 - 23 / 22</t>
  </si>
  <si>
    <t>Чемпионат Европы по жимовому двоеборью                                                                                                                                                                Любители/ жимовое двоеборье</t>
  </si>
  <si>
    <t>Junior 20 - 23 (06.07.1992)/23</t>
  </si>
  <si>
    <t>63,50</t>
  </si>
  <si>
    <t>Касимов/Рязанская область</t>
  </si>
  <si>
    <t>Open (06.07.1992)/23</t>
  </si>
  <si>
    <t xml:space="preserve">Минск/Минская </t>
  </si>
  <si>
    <t>80</t>
  </si>
  <si>
    <t>Junior (03.06.1992)/23</t>
  </si>
  <si>
    <t>85,30</t>
  </si>
  <si>
    <t>6632,5313</t>
  </si>
  <si>
    <t>Open (23.07.1981)/34</t>
  </si>
  <si>
    <t>7861,8403</t>
  </si>
  <si>
    <t xml:space="preserve">Зимин </t>
  </si>
  <si>
    <t xml:space="preserve">Белоруссия/ Гомель </t>
  </si>
  <si>
    <t>37</t>
  </si>
  <si>
    <t>8538,8777</t>
  </si>
  <si>
    <t>Open (03.06.1992)/23</t>
  </si>
  <si>
    <t>6329,4010</t>
  </si>
  <si>
    <t>Думиника Владислав</t>
  </si>
  <si>
    <t>Open (30.07.1972)/43</t>
  </si>
  <si>
    <t>8656,8960</t>
  </si>
  <si>
    <t>Пасечник К.</t>
  </si>
  <si>
    <t>7156,1100</t>
  </si>
  <si>
    <t xml:space="preserve">Длужневский С.С. </t>
  </si>
  <si>
    <t>95,80</t>
  </si>
  <si>
    <t>6900,6000</t>
  </si>
  <si>
    <t>Masters 40-44 (30.07.1972)/43</t>
  </si>
  <si>
    <t>4349,5560</t>
  </si>
  <si>
    <t>Open (24.02.1989)/27</t>
  </si>
  <si>
    <t>105,40</t>
  </si>
  <si>
    <t>8414,8800</t>
  </si>
  <si>
    <t>6939,5988</t>
  </si>
  <si>
    <t>Open (31.05.1991)/24</t>
  </si>
  <si>
    <t>109,20</t>
  </si>
  <si>
    <t>7099,7175</t>
  </si>
  <si>
    <t xml:space="preserve">Варалов И. </t>
  </si>
  <si>
    <t>6890,2200</t>
  </si>
  <si>
    <t>8509,4376</t>
  </si>
  <si>
    <t>Open (06.02.1987)/29</t>
  </si>
  <si>
    <t>110,10</t>
  </si>
  <si>
    <t>6195,7280</t>
  </si>
  <si>
    <t>5873,1784</t>
  </si>
  <si>
    <t>Чемпионат Европы по жимовому двоеборью                                                                                                                                                                Любители с ДК/ многоповторный жим</t>
  </si>
  <si>
    <t>ВЕСОВАЯ КАТЕГОРИЯ  50  (1/2 веса)</t>
  </si>
  <si>
    <t>Залуцкая Светлана</t>
  </si>
  <si>
    <t>50,00</t>
  </si>
  <si>
    <t xml:space="preserve"> Viktoria </t>
  </si>
  <si>
    <t xml:space="preserve">675 </t>
  </si>
  <si>
    <t>867,1050</t>
  </si>
  <si>
    <t>Тарасова Юлия</t>
  </si>
  <si>
    <t>Open (12.09.1973)/42</t>
  </si>
  <si>
    <t>59,60</t>
  </si>
  <si>
    <t>1020</t>
  </si>
  <si>
    <t>1231,1400</t>
  </si>
  <si>
    <t>Соколова Валентина</t>
  </si>
  <si>
    <t xml:space="preserve">420 </t>
  </si>
  <si>
    <t>633,7800</t>
  </si>
  <si>
    <t>Есаков Вадим</t>
  </si>
  <si>
    <t>Teen 14-17 (30.05.2001)/14</t>
  </si>
  <si>
    <t>57,80</t>
  </si>
  <si>
    <t>900</t>
  </si>
  <si>
    <t>796,0500</t>
  </si>
  <si>
    <t>Тарасов Эдуард</t>
  </si>
  <si>
    <t>Masters 50-54 (12.08.1962)/53</t>
  </si>
  <si>
    <t>1260</t>
  </si>
  <si>
    <t>925,6212</t>
  </si>
  <si>
    <t>Васильев Дмитрий</t>
  </si>
  <si>
    <t>Open (21.02.1984)/32</t>
  </si>
  <si>
    <t>2032,1280</t>
  </si>
  <si>
    <t>Лебедев А.</t>
  </si>
  <si>
    <t>1980</t>
  </si>
  <si>
    <t>1469,9025</t>
  </si>
  <si>
    <t>Чернышов Евгений</t>
  </si>
  <si>
    <t>Masters 40-44 (23.09.1975)/40</t>
  </si>
  <si>
    <t>107,30</t>
  </si>
  <si>
    <t>2090</t>
  </si>
  <si>
    <t>1549,9963</t>
  </si>
  <si>
    <t>Шмаков Сергей</t>
  </si>
  <si>
    <t>Masters 50-54 (12.05.1965)/51</t>
  </si>
  <si>
    <t>106,70</t>
  </si>
  <si>
    <t>1552,6088</t>
  </si>
  <si>
    <t>Junior (14.09.1996)/19</t>
  </si>
  <si>
    <t>113,90</t>
  </si>
  <si>
    <t>2640</t>
  </si>
  <si>
    <t>1999,4832</t>
  </si>
  <si>
    <t>Симановский Игорь</t>
  </si>
  <si>
    <t>Open (28.03.1965)/51</t>
  </si>
  <si>
    <t>Open (14.09.1996)/19</t>
  </si>
  <si>
    <t>Чемпионат Европы по жимовому двоеборью                                                                                                                                                                Любители с ДК/ жим на максимум</t>
  </si>
  <si>
    <t>Teen 14-17 (11.08.2000)/15</t>
  </si>
  <si>
    <t>59,50</t>
  </si>
  <si>
    <t>58,9103</t>
  </si>
  <si>
    <t>86,9628</t>
  </si>
  <si>
    <t xml:space="preserve">Тарасов Э.  </t>
  </si>
  <si>
    <t>64,0175</t>
  </si>
  <si>
    <t>Шаталов Виталий</t>
  </si>
  <si>
    <t>Open (27.01.1985)/31</t>
  </si>
  <si>
    <t>78,60</t>
  </si>
  <si>
    <t>89,7650</t>
  </si>
  <si>
    <t>Винокуров Олег</t>
  </si>
  <si>
    <t>Masters 45-49 (10.05.1966)/49</t>
  </si>
  <si>
    <t>74,80</t>
  </si>
  <si>
    <t>83,8833</t>
  </si>
  <si>
    <t xml:space="preserve">Кучер С. </t>
  </si>
  <si>
    <t>93,0000</t>
  </si>
  <si>
    <t>67,4015</t>
  </si>
  <si>
    <t>109,7600</t>
  </si>
  <si>
    <t>89,0850</t>
  </si>
  <si>
    <t>Чемпионат Европы по жимовому двоеборью                                                                                                                                                                Любители с ДК/ жимовое двоеборье</t>
  </si>
  <si>
    <t>ВЕСОВАЯ КАТЕГОРИЯ   50  (1/2 веса)</t>
  </si>
  <si>
    <t>Victoria</t>
  </si>
  <si>
    <t>ВЕСОВАЯ КАТЕГОРИЯ   70   (1/2 веса)</t>
  </si>
  <si>
    <t>Open (21.01.1987)/29</t>
  </si>
  <si>
    <t>Потехина Екатерина</t>
  </si>
  <si>
    <t>Open (17.02.1988)/28</t>
  </si>
  <si>
    <t>54,80</t>
  </si>
  <si>
    <t>5550,2535</t>
  </si>
  <si>
    <t>Потехин К.</t>
  </si>
  <si>
    <t>5542,9822</t>
  </si>
  <si>
    <t xml:space="preserve">Тарасов Э. </t>
  </si>
  <si>
    <t>4391,8394</t>
  </si>
  <si>
    <t>Masters 40-44 (12.09.1973)/42</t>
  </si>
  <si>
    <t>Open (10.02.1987)/29</t>
  </si>
  <si>
    <t>59,20</t>
  </si>
  <si>
    <t>Junior (05.07.1993)/22</t>
  </si>
  <si>
    <t>68,90</t>
  </si>
  <si>
    <t>Teen 14-17 (24.08.1998)/17</t>
  </si>
  <si>
    <t>71,20</t>
  </si>
  <si>
    <t>7024,0236</t>
  </si>
  <si>
    <t>Федотов Виктор</t>
  </si>
  <si>
    <t>Teen 14-17 (21.01.2002)/14</t>
  </si>
  <si>
    <t>Каратчеев Н.</t>
  </si>
  <si>
    <t>78,20</t>
  </si>
  <si>
    <t>Open (12.07.1988)/27</t>
  </si>
  <si>
    <t>75,10</t>
  </si>
  <si>
    <t>Open (21.04.1980)/36</t>
  </si>
  <si>
    <t>Open (12.07.1984)/31</t>
  </si>
  <si>
    <t>86,70</t>
  </si>
  <si>
    <t>Open (18.12.1989)/26</t>
  </si>
  <si>
    <t>4598,7212</t>
  </si>
  <si>
    <t>9759,1800</t>
  </si>
  <si>
    <t>7524,9240</t>
  </si>
  <si>
    <t>Open (02.01.1982)/34</t>
  </si>
  <si>
    <t>7342,0110</t>
  </si>
  <si>
    <t>Open (26.05.1983)/32</t>
  </si>
  <si>
    <t>7101,7900</t>
  </si>
  <si>
    <t>Open (14.09.1989)/26</t>
  </si>
  <si>
    <t>104,7</t>
  </si>
  <si>
    <t>6946,5975</t>
  </si>
  <si>
    <t>Open (08.10.1983)/32</t>
  </si>
  <si>
    <t>5680,8475</t>
  </si>
  <si>
    <t>Masters 50-54 (28.03.1965)/51</t>
  </si>
  <si>
    <t>Никулин Алексей</t>
  </si>
  <si>
    <t>Open (01.02.1982)/34</t>
  </si>
  <si>
    <t>126,6</t>
  </si>
  <si>
    <t xml:space="preserve">Teen 14-17 </t>
  </si>
  <si>
    <t>Чемпионат Европы по жимовому двоеборью                                                                                                                                                                Спортсмены с физическими особенностями</t>
  </si>
  <si>
    <t>ВЕСОВАЯ КАТЕГОРИЯ  70</t>
  </si>
  <si>
    <t>Соколовский Борис</t>
  </si>
  <si>
    <t>Masters 40 - 44 / 44</t>
  </si>
  <si>
    <t>4705,4826</t>
  </si>
  <si>
    <t>Чемпионат Европы IPL                                                                                                                                          Силовое двоеборье в экипировке ДК
г. Долгопрудный, 21 - 24 апреля 2016 г.</t>
  </si>
  <si>
    <t>Залуцкая Светлана (1)</t>
  </si>
  <si>
    <t>Тарасова Юлия (МСМК)</t>
  </si>
  <si>
    <t>Соколова Валентина (МС)</t>
  </si>
  <si>
    <t>Тарасов Эдуард (1)</t>
  </si>
  <si>
    <t>Васильев Дмитрий (КМС)</t>
  </si>
  <si>
    <t>Куротченко Игорь (КМС)</t>
  </si>
  <si>
    <t>Чернышов Евгений (МС)</t>
  </si>
  <si>
    <t>Шмаков Сергей (МС)</t>
  </si>
  <si>
    <t>Петров Евгений (МСМК)</t>
  </si>
  <si>
    <t>Симановский Игорь (Элита)</t>
  </si>
  <si>
    <t>Исаева Ирина (1)</t>
  </si>
  <si>
    <t>Шаталов Виталий (КМС)</t>
  </si>
  <si>
    <t>Винокуров Олег (1)</t>
  </si>
  <si>
    <t>Итунин Тарас (МС)</t>
  </si>
  <si>
    <t>Васильев Дмитрий (МС)</t>
  </si>
  <si>
    <t>Куротченко Игорь (1)</t>
  </si>
  <si>
    <t>Уколкина Светлана (КМС)</t>
  </si>
  <si>
    <t>Потехина Екатерина (МСМК)</t>
  </si>
  <si>
    <t>Мазанов Константин (КМС)</t>
  </si>
  <si>
    <t>Симановский Денис (МСМК)</t>
  </si>
  <si>
    <t>Ксенофонтов Роман (КМС)</t>
  </si>
  <si>
    <t>Скворцов Александр (1)</t>
  </si>
  <si>
    <t>Талпиз Валентин (КМС)</t>
  </si>
  <si>
    <t>Рязанских Михаил (МС)</t>
  </si>
  <si>
    <t>Корнеев Александр (КМС)</t>
  </si>
  <si>
    <t>Кирсанов Илья (Элита)</t>
  </si>
  <si>
    <t>Филлипин Андрей (МС)</t>
  </si>
  <si>
    <t>Кислов Павел (МС)</t>
  </si>
  <si>
    <t>Петросян Рафаэль (МС)</t>
  </si>
  <si>
    <t>Ураев Виталий (КМС)</t>
  </si>
  <si>
    <t>Симановский Игорь (МС)</t>
  </si>
  <si>
    <t>Никулин Алексей (МСМК)</t>
  </si>
  <si>
    <t>Антипова Александра (Элита)</t>
  </si>
  <si>
    <t>Каштанов Сергей (1)</t>
  </si>
  <si>
    <t>Белокопытов Владимир (1)</t>
  </si>
  <si>
    <t>Ляшенко Александр (КМС)</t>
  </si>
  <si>
    <t>Бакалин Виталий (КМС)</t>
  </si>
  <si>
    <t>Барягин Леонид (КМС)</t>
  </si>
  <si>
    <t>Блетько Николай (МСМК)</t>
  </si>
  <si>
    <t>Ляшенко Александр  (КМС)</t>
  </si>
  <si>
    <t>Хатипов Владимир (КМС)</t>
  </si>
  <si>
    <t>Феофанов Сергей (КМС)</t>
  </si>
  <si>
    <t>Барягин Леонид (1)</t>
  </si>
  <si>
    <t>Яшкина Екатерина (МСМК)</t>
  </si>
  <si>
    <t>Бертрам Валерий (КМС)</t>
  </si>
  <si>
    <t>Подобин Сергей (КМС)</t>
  </si>
  <si>
    <t>Семуков Сергей (МС)</t>
  </si>
  <si>
    <t>Думиника Владислав (МС)</t>
  </si>
  <si>
    <t>Медведков Юрий (КМС)</t>
  </si>
  <si>
    <t>Филатов Василий (МС)</t>
  </si>
  <si>
    <t>Гончаров Алексей (МС)</t>
  </si>
  <si>
    <t>Грицак Александр (КМС)</t>
  </si>
  <si>
    <t>Луценко Андрей (МСМК)</t>
  </si>
  <si>
    <t>Шмаков Юрий (КМС)</t>
  </si>
  <si>
    <t>Греев Руслан (МСМК)</t>
  </si>
  <si>
    <t>Суставов Юрий (КМС)</t>
  </si>
  <si>
    <t>Потехин Кирилл (КМС)</t>
  </si>
  <si>
    <t>Фотин Александр (МСМК)</t>
  </si>
  <si>
    <t>Алеев Марат (МС)</t>
  </si>
  <si>
    <t>Петров Егор (КМС)</t>
  </si>
  <si>
    <t>Сухарев Кирилл (КМС)</t>
  </si>
  <si>
    <t>Поляков Андрей (МС)</t>
  </si>
  <si>
    <t>Смирнов Олег (МСМК)</t>
  </si>
  <si>
    <t>Бакеев Адиль (1)</t>
  </si>
  <si>
    <t>Суставов Юрий (МС)</t>
  </si>
  <si>
    <t>Лапин Анатолий (1)</t>
  </si>
  <si>
    <t>Володько Антон (КМС)</t>
  </si>
  <si>
    <t>Змеенков Андрей (МС)</t>
  </si>
  <si>
    <t>Щеголев Алексей (КМС)</t>
  </si>
  <si>
    <t>Леонов Павел (МСМК)</t>
  </si>
  <si>
    <t>Мещеряков Сергей (КМС)</t>
  </si>
  <si>
    <t>Иванчиков Сергей (КМС)</t>
  </si>
  <si>
    <t>Леонов Павел (Элита)</t>
  </si>
  <si>
    <t>Емельянов Николай (МСМК)</t>
  </si>
  <si>
    <t>Иванчиков Сергей (МС)</t>
  </si>
  <si>
    <t>Ефимов Антон (КМС)</t>
  </si>
  <si>
    <t>Залуцкий Роман (МСМК)</t>
  </si>
  <si>
    <t>Чернов Денис (КМС)</t>
  </si>
  <si>
    <t>Шабалин Дмитрий (МСМК)</t>
  </si>
  <si>
    <t>Есаков Алексей (КМС)</t>
  </si>
  <si>
    <t>Рыбальченко Игорь (1)</t>
  </si>
  <si>
    <t>Поспелов Владимир (Элита)</t>
  </si>
  <si>
    <t>Есаков Алексей (МС)</t>
  </si>
  <si>
    <t>Свеженцев Андрей (МСМК)</t>
  </si>
  <si>
    <t>Алибегов Мурад (Элита)</t>
  </si>
  <si>
    <t>Поспелов Владимир (МС)</t>
  </si>
  <si>
    <t>Хватов Денис (1)</t>
  </si>
  <si>
    <t>Хорхордин Игорь (КМС)</t>
  </si>
  <si>
    <t>Серегин Сергей (МС)</t>
  </si>
  <si>
    <t>Краснов Илья (МС)</t>
  </si>
  <si>
    <t>Кирсанов Илья (МС)</t>
  </si>
  <si>
    <t>Серых Ольга (МС)</t>
  </si>
  <si>
    <t>Янковский Андрей (2)</t>
  </si>
  <si>
    <t>Тюпко Григорий (МС)</t>
  </si>
  <si>
    <t>Сакович Олег (Элита)</t>
  </si>
  <si>
    <t>Оларь Василий (МС)</t>
  </si>
  <si>
    <t>Панов Петр (МС)</t>
  </si>
  <si>
    <t>Юшин Алексей (МСМК)</t>
  </si>
  <si>
    <t>Прокопенко Евгений (3)</t>
  </si>
  <si>
    <t>Хорев Артур (МСМК)</t>
  </si>
  <si>
    <t>Поплевкин Леонид (МС)</t>
  </si>
  <si>
    <t>Колосов Давид (КМС)</t>
  </si>
  <si>
    <t>Кировский Андрей (КМС)</t>
  </si>
  <si>
    <t>Суховерков Дмитрий (КМС)</t>
  </si>
  <si>
    <t>Первышин Евгений (КМС)</t>
  </si>
  <si>
    <t>Бурдаков Сергей (КМС)</t>
  </si>
  <si>
    <t>Каширин Александр (1)</t>
  </si>
  <si>
    <t>Шейкин Алексей (МСМК)</t>
  </si>
  <si>
    <t>Букалов Алексей (КМС)</t>
  </si>
  <si>
    <t>Поляков Андрей (КМС)</t>
  </si>
  <si>
    <t>Зайцев Павел (1)</t>
  </si>
  <si>
    <t>Симкин Андрей (КМС)</t>
  </si>
  <si>
    <t>Латинский Виталий (КМС)</t>
  </si>
  <si>
    <t>Гредягин Александр (1)</t>
  </si>
  <si>
    <t>Тихов Сергей (КМС)</t>
  </si>
  <si>
    <t>Сапегин Дмитрий (КМС)</t>
  </si>
  <si>
    <t>Копаев Виктор (МСМК)</t>
  </si>
  <si>
    <t>Минасян Артур (КМС)</t>
  </si>
  <si>
    <t>Озорнов Роман (1)</t>
  </si>
  <si>
    <t>Белецкий Владимир (МСМК)</t>
  </si>
  <si>
    <t>Грушин Владимир (МСМК)</t>
  </si>
  <si>
    <t>Шейкин Алексей (МС)</t>
  </si>
  <si>
    <t>Исаев Максим (1)</t>
  </si>
  <si>
    <t>Бабичев Игорь (КМС)</t>
  </si>
  <si>
    <t>Кольцов Павел (1)</t>
  </si>
  <si>
    <t>Пронин Иван (1)</t>
  </si>
  <si>
    <t>Арсентьев Иван (МС)</t>
  </si>
  <si>
    <t>Журавлёва Алёна (КМС)</t>
  </si>
  <si>
    <t>Нигматзянова Талия (КМС)</t>
  </si>
  <si>
    <t>Кошурникова Галина (1)</t>
  </si>
  <si>
    <t>Зайцев Александр (МСМК)</t>
  </si>
  <si>
    <t>Дровосеков Виктор (МС)</t>
  </si>
  <si>
    <t>Худяков Владимир (КМС)</t>
  </si>
  <si>
    <t>Филимонов Александр (Элита)</t>
  </si>
  <si>
    <t>Киселев Игорь (МСМК)</t>
  </si>
  <si>
    <t>Житарев Иван (1)</t>
  </si>
  <si>
    <t>Шевченко Сергей (МСМК)</t>
  </si>
  <si>
    <t>Дровосеков Виктор (КМС)</t>
  </si>
  <si>
    <t>Можаров Александр (КМС)</t>
  </si>
  <si>
    <t>Рыжков Сергей (МС)</t>
  </si>
  <si>
    <t>Резников Василий (КМС)</t>
  </si>
  <si>
    <t>Грушин Александр (КМС)</t>
  </si>
  <si>
    <t>Мамонов Павел (1)</t>
  </si>
  <si>
    <t>Кулясов Сергей (МСМК)</t>
  </si>
  <si>
    <t>Кудашкин Александр (КМС)</t>
  </si>
  <si>
    <t>Пеньковский Роман (МСМК)</t>
  </si>
  <si>
    <t>Клепиков Александр (2)</t>
  </si>
  <si>
    <t>Журавлёва Алёна (МСМК)</t>
  </si>
  <si>
    <t>Зорина Анастасия (МС)</t>
  </si>
  <si>
    <t>Нигматзянова Талия (МСМК)</t>
  </si>
  <si>
    <t>Толстошеева Виктория (МСМК)</t>
  </si>
  <si>
    <t>Романовская Екатерина (МС)</t>
  </si>
  <si>
    <t>Бирюкова Нина (МС)</t>
  </si>
  <si>
    <t>Кошурникова Галина (МСМК)</t>
  </si>
  <si>
    <t>Добров Савва (МС)</t>
  </si>
  <si>
    <t>Мошков Андрей (КМС)</t>
  </si>
  <si>
    <t>Юдинцев Андрей (КМС)</t>
  </si>
  <si>
    <t>Дровосеков Виктор (Элита)</t>
  </si>
  <si>
    <t>Чаров Михаил (Элита)</t>
  </si>
  <si>
    <t>Талдыкин Артем (МСМК)</t>
  </si>
  <si>
    <t>Худяков Владимир (МС)</t>
  </si>
  <si>
    <t>Житарев Иван (МСМК)</t>
  </si>
  <si>
    <t>Филимонов Александр (МСМК)</t>
  </si>
  <si>
    <t>Каширин Александр (МС)</t>
  </si>
  <si>
    <t>Ткачук Владислав (2)</t>
  </si>
  <si>
    <t>Кука Евгений (Элита)</t>
  </si>
  <si>
    <t>Аверкиев Лев (МС)</t>
  </si>
  <si>
    <t>Жарков Александр (КМС)</t>
  </si>
  <si>
    <t>Шевченко Сергей (Элита)</t>
  </si>
  <si>
    <t>Дровосеков Виктор (МСМК)</t>
  </si>
  <si>
    <t>Можаров Александр (МС)</t>
  </si>
  <si>
    <t>Грушин Александр (МСМК)</t>
  </si>
  <si>
    <t>Мамонов Павел (МС)</t>
  </si>
  <si>
    <t>Шварц Сергей (МС)</t>
  </si>
  <si>
    <t>Панин Алексей (КМС)</t>
  </si>
  <si>
    <t>Кулясов Сергей (Элита)</t>
  </si>
  <si>
    <t>Филатов Евгений (МСМК)</t>
  </si>
  <si>
    <t>Савинов Алексей (МС)</t>
  </si>
  <si>
    <t>Лёвин Денис (КМС)</t>
  </si>
  <si>
    <t>Яковина Дмитрий (КМС)</t>
  </si>
  <si>
    <t>Асиновский Александр (МСМК)</t>
  </si>
  <si>
    <t>Клепиков Александр (КМС)</t>
  </si>
  <si>
    <t>Шарков Андрей (МСМК)</t>
  </si>
  <si>
    <t>Кириллов Александр (МС)</t>
  </si>
  <si>
    <t>Константинов Константин (МСМК)</t>
  </si>
  <si>
    <t>Борисов Игорь (КМС)</t>
  </si>
  <si>
    <t>Мережко Алексей (КМС)</t>
  </si>
  <si>
    <t>Филатов Евгений (МС)</t>
  </si>
  <si>
    <t>Шарков Андрей (КМС)</t>
  </si>
  <si>
    <t>Кириллов Александр (КМС)</t>
  </si>
  <si>
    <t>Цыганкова Ирина (МС)</t>
  </si>
  <si>
    <t>Кошурникова Галина (МС)</t>
  </si>
  <si>
    <t>Журба Владислав (МС)</t>
  </si>
  <si>
    <t>Талдыкин Артем (КМС)</t>
  </si>
  <si>
    <t>Худяков Владимир (1)</t>
  </si>
  <si>
    <t>Курицын Алексей (2)</t>
  </si>
  <si>
    <t>Житарев Иван (КМС)</t>
  </si>
  <si>
    <t>Лебедев Александр (КМС)</t>
  </si>
  <si>
    <t>Фаустов Александр (МСМК)</t>
  </si>
  <si>
    <t>Зинченко Валентин (МС)</t>
  </si>
  <si>
    <t>Борисов Игорь (2)</t>
  </si>
  <si>
    <t>Евтихова Юлия (Элита)</t>
  </si>
  <si>
    <t>Гафаров Айрат (2)</t>
  </si>
  <si>
    <t>Бояров Александр (Элита)</t>
  </si>
  <si>
    <t>Фаустов Александр (Элита)</t>
  </si>
  <si>
    <t>Фотин Александр (МС)</t>
  </si>
  <si>
    <t>Beroshvili George (Элита)</t>
  </si>
  <si>
    <t>Славина Анна (1)</t>
  </si>
  <si>
    <t>Шумкова Анастасия (КМС)</t>
  </si>
  <si>
    <t>Родионова Дарья (КМС)</t>
  </si>
  <si>
    <t>Недилько Максим (2)</t>
  </si>
  <si>
    <t>Савин Григорий (3)</t>
  </si>
  <si>
    <t>Шабин Виктор (КМС)</t>
  </si>
  <si>
    <t>Захаров Михаил (2)</t>
  </si>
  <si>
    <t>Силантьев Кирилл (КМС)</t>
  </si>
  <si>
    <t>Черняев Дмитрий (КМС)</t>
  </si>
  <si>
    <t>Полетаев Андрей (3)</t>
  </si>
  <si>
    <t>Вовченко Марина (1)</t>
  </si>
  <si>
    <t>Голицын Сергей (КМС)</t>
  </si>
  <si>
    <t>Селезнёв Евгений (КМС)</t>
  </si>
  <si>
    <t>Хролович Виталий (КМС)</t>
  </si>
  <si>
    <t>Бондарев Семён (КМС)</t>
  </si>
  <si>
    <t>Сечин Илья (КМС)</t>
  </si>
  <si>
    <t>Кобзев Антон (МС)</t>
  </si>
  <si>
    <t>Лукин Денис (1)</t>
  </si>
  <si>
    <t>Силантьев Кирилл (1)</t>
  </si>
  <si>
    <t>Дегтярёв Егор (Элита)</t>
  </si>
  <si>
    <t>Харнас Павел (МС)</t>
  </si>
  <si>
    <t>Гришеев Павел (МС)</t>
  </si>
  <si>
    <t>Быков Николай (МС)</t>
  </si>
  <si>
    <t>Скорятин Андрей (1)</t>
  </si>
  <si>
    <t>Погосов Левон (Элита)</t>
  </si>
  <si>
    <t>Фадеев Виктор (1)</t>
  </si>
  <si>
    <t>Чибисов Павел (МСМК)</t>
  </si>
  <si>
    <t>Полежаев Александр (МС)</t>
  </si>
  <si>
    <t>Авилов Евгений (1)</t>
  </si>
  <si>
    <t>Чернышов Игорь (КМС)</t>
  </si>
  <si>
    <t>Казанцев Иван (МСМК)</t>
  </si>
  <si>
    <t>Смольников Валерий (МС)</t>
  </si>
  <si>
    <t>Пасечник Константин (КМС)</t>
  </si>
  <si>
    <t>Юнанов Александр (2)</t>
  </si>
  <si>
    <t>Полетаев Владимир (2)</t>
  </si>
  <si>
    <t>Филин Михаил (2)</t>
  </si>
  <si>
    <t>Головкина Юлия (МС)</t>
  </si>
  <si>
    <t>Серкова Мария (МСМК)</t>
  </si>
  <si>
    <t>Кныш Виктория (Элита)</t>
  </si>
  <si>
    <t>Заболотников Иван (МСМК)</t>
  </si>
  <si>
    <t>Павлов Максим (Элита)</t>
  </si>
  <si>
    <t>Чурин Юрий (МС)</t>
  </si>
  <si>
    <t>Антипов Владимир (Элита)</t>
  </si>
  <si>
    <t>Яковский Александр (Элита)</t>
  </si>
  <si>
    <t>Макаров Вячеслав (МСМК)</t>
  </si>
  <si>
    <t>Захаров Игорь (МСМК)</t>
  </si>
  <si>
    <t>Волков Андрей (Элита)</t>
  </si>
  <si>
    <t>Ульянов Василий (МСМК)</t>
  </si>
  <si>
    <t>Семуков Сергей (МСМК)</t>
  </si>
  <si>
    <t>Хитров Сергей (МС)</t>
  </si>
  <si>
    <t>Клабуков Сергей (1)</t>
  </si>
  <si>
    <t>Щеклеев Роман (1)</t>
  </si>
  <si>
    <t>Ломакин Сергей (1)</t>
  </si>
  <si>
    <t>Логинов Павел (3)</t>
  </si>
  <si>
    <t>Игнатов Виталий (МС)</t>
  </si>
  <si>
    <t>Мамедов Дилавар (КМС)</t>
  </si>
  <si>
    <t>Андреев Евгений (1)</t>
  </si>
  <si>
    <t>Кузнецов Роман (МСМК)</t>
  </si>
  <si>
    <t>Атипов Семен (3)</t>
  </si>
  <si>
    <t>Филатов Евгений (Элита)</t>
  </si>
  <si>
    <t>Бардин Владимир (Элита)</t>
  </si>
  <si>
    <t>Андронов Александр (МСМК)</t>
  </si>
  <si>
    <t>Золотаренок Андрей (2)</t>
  </si>
  <si>
    <t>Галахов Александр (МС)</t>
  </si>
  <si>
    <t>Арсентьев Иван (МСМК)</t>
  </si>
  <si>
    <t>Луценко Андрей (МС)</t>
  </si>
  <si>
    <t>Никандров Артем (КМС)</t>
  </si>
  <si>
    <t>Шилкин Никита (КМС)</t>
  </si>
  <si>
    <t>Захаренко Дмитрий (1)</t>
  </si>
  <si>
    <t>Богданов Константин (2)</t>
  </si>
  <si>
    <t>Брюханова Ирина (МСМК)</t>
  </si>
  <si>
    <t>Никитина Ксения (МСМК)</t>
  </si>
  <si>
    <t>Конькова Ольга (КМС)</t>
  </si>
  <si>
    <t>Синотова Марина (МС)</t>
  </si>
  <si>
    <t>Хузин Ринат (Элита)</t>
  </si>
  <si>
    <t>Колесников Юрий (МС)</t>
  </si>
  <si>
    <t>Сидоровский Сергей (МСМК)</t>
  </si>
  <si>
    <t>Рядинский Денис (МСМК)</t>
  </si>
  <si>
    <t>Рассказов Сергей (1)</t>
  </si>
  <si>
    <t>Сухарев Кирилл (МС)</t>
  </si>
  <si>
    <t>Букалов Алексей (МС)</t>
  </si>
  <si>
    <t>Сухарев Андрей (Элита)</t>
  </si>
  <si>
    <t>Трухтанов Павел (МСМК)</t>
  </si>
  <si>
    <t>Васильев Павел (МС)</t>
  </si>
  <si>
    <t>Снетков Александр (МС)</t>
  </si>
  <si>
    <t>Прокопов Михаил (КМС)</t>
  </si>
  <si>
    <t>Стёпышев Алексей (1)</t>
  </si>
  <si>
    <t>Кудашкин Александр (МС)</t>
  </si>
  <si>
    <t>Юрасов Роман (Элита)</t>
  </si>
  <si>
    <t>Жильцов Александр (1)</t>
  </si>
  <si>
    <t>Оглоблин Денис (МСМК)</t>
  </si>
  <si>
    <t>Бочарова Галина (1)</t>
  </si>
  <si>
    <t>Сверчкова Анна (МС)</t>
  </si>
  <si>
    <t>Шушура Елена (3)</t>
  </si>
  <si>
    <t>Катигариди Илья (2)</t>
  </si>
  <si>
    <t>Пикляев Денис (Элита)</t>
  </si>
  <si>
    <t>Дворядкин Павел (МС)</t>
  </si>
  <si>
    <t>Логинов Павел (КМС)</t>
  </si>
  <si>
    <t>Максимкин Даниил (МС)</t>
  </si>
  <si>
    <t>Белокопытов Владимир (КМС)</t>
  </si>
  <si>
    <t>Мещеряков Сергей (МС)</t>
  </si>
  <si>
    <t>Калмыков Михаил (МС)</t>
  </si>
  <si>
    <t>Василенко Дмитрий (МСМК)</t>
  </si>
  <si>
    <t>Воробьев Константин (2)</t>
  </si>
  <si>
    <t>Наторкин Максим (КМС)</t>
  </si>
  <si>
    <t>Писарев Кирилл (КМС)</t>
  </si>
  <si>
    <t>Соловьев Вячеслав (Элита)</t>
  </si>
  <si>
    <t>ФАПО</t>
  </si>
  <si>
    <t>1658,25</t>
  </si>
  <si>
    <t>Masters 50-54</t>
  </si>
  <si>
    <t>Жим 50 кг</t>
  </si>
  <si>
    <t>Жим 100 кг</t>
  </si>
  <si>
    <t>102,4</t>
  </si>
  <si>
    <t>230</t>
  </si>
  <si>
    <t>14696,728</t>
  </si>
  <si>
    <t>5460</t>
  </si>
  <si>
    <t>4188,9393</t>
  </si>
  <si>
    <t>800</t>
  </si>
  <si>
    <t>215.0</t>
  </si>
  <si>
    <t>1629,2461</t>
  </si>
  <si>
    <t>2824,1718</t>
  </si>
  <si>
    <t>3120,0751</t>
  </si>
  <si>
    <t>2070,7246</t>
  </si>
  <si>
    <t>2148,3078</t>
  </si>
  <si>
    <t>111,1341</t>
  </si>
  <si>
    <t>94,224</t>
  </si>
  <si>
    <t>85,0113</t>
  </si>
  <si>
    <t>125</t>
  </si>
  <si>
    <t>128,458</t>
  </si>
  <si>
    <t>477,5</t>
  </si>
  <si>
    <t>276,2815</t>
  </si>
  <si>
    <t>582,5</t>
  </si>
  <si>
    <t>403,4978</t>
  </si>
  <si>
    <t>323,8043</t>
  </si>
  <si>
    <t>275,7038</t>
  </si>
  <si>
    <t>717,5</t>
  </si>
  <si>
    <t>353,888</t>
  </si>
  <si>
    <t>805</t>
  </si>
  <si>
    <t>Чернобаева Лариса (+МС)</t>
  </si>
  <si>
    <t>Быстрова Алиса (+МС)</t>
  </si>
  <si>
    <t>Дурнов Роман (+КМС)</t>
  </si>
  <si>
    <t>Шейкин Алексей (+МС)</t>
  </si>
  <si>
    <t>Белов Станислав (+1)</t>
  </si>
  <si>
    <t>Степурин Александр (МС)</t>
  </si>
  <si>
    <t>Федулова Алена (+3)</t>
  </si>
  <si>
    <t>Емельянова Нина (+2)</t>
  </si>
  <si>
    <t>Медведева Юлия (МСМК)</t>
  </si>
  <si>
    <t>Гореликов Дмитрий (КМС)</t>
  </si>
  <si>
    <t>ВЕСОВАЯ КАТЕГОРИЯ   67,5</t>
  </si>
  <si>
    <t>ВЕСОВАЯ КАТЕГОРИЯ   82,5</t>
  </si>
  <si>
    <t>ВЕСОВАЯ КАТЕГОРИЯ  90</t>
  </si>
  <si>
    <t>ВЕСОВАЯ КАТЕГОРИЯ  60</t>
  </si>
  <si>
    <t>ВЕСОВАЯ КАТЕГОРИЯ  67,5</t>
  </si>
  <si>
    <t>ВЕСОВАЯ КАТЕГОРИЯ  75</t>
  </si>
  <si>
    <t>ВЕСОВАЯ КАТЕГОРИЯ  82,5</t>
  </si>
  <si>
    <t>ВЕСОВАЯ КАТЕГОРИЯ  100</t>
  </si>
  <si>
    <t>ВЕСОВАЯ КАТЕГОРИЯ  110</t>
  </si>
  <si>
    <t>ВЕСОВАЯ КАТЕГОРИЯ  125</t>
  </si>
  <si>
    <t>ВЕСОВАЯ КАТЕГОРИЯ  140</t>
  </si>
  <si>
    <t>ВЕСОВАЯ КАТЕГОРИЯ  +140</t>
  </si>
  <si>
    <t>Ермолаева Дарья (МСМК)</t>
  </si>
  <si>
    <t>Шишкин Андрей (МС)</t>
  </si>
  <si>
    <t>Таликова Надежда (МСМК)</t>
  </si>
  <si>
    <t>Авдеева Юлия (1)</t>
  </si>
  <si>
    <t>Брюханова Ирина (МС)</t>
  </si>
  <si>
    <t>Чуракова Юлия (КМС)</t>
  </si>
  <si>
    <t>Райляну Диана (КМС)</t>
  </si>
  <si>
    <t>Дударева Екатерина (МС)</t>
  </si>
  <si>
    <t>Нетребина Галина (КМС)</t>
  </si>
  <si>
    <t>Постнова Илина (1)</t>
  </si>
  <si>
    <t>Чешуина Полина (МС)</t>
  </si>
  <si>
    <t>Суховеркова Екатерина (Элита)</t>
  </si>
  <si>
    <t>Охапкина Светлана (Элита)</t>
  </si>
  <si>
    <t>Дьяконова Наталья (МСМК)</t>
  </si>
  <si>
    <t>Кожуханцева Марина (МС)</t>
  </si>
  <si>
    <t>Костина Екатерина (МС)</t>
  </si>
  <si>
    <t>Крымовская Светлана (1)</t>
  </si>
  <si>
    <t>Хлебодарова Алина (1)</t>
  </si>
  <si>
    <t>Прохина Елена (2)</t>
  </si>
  <si>
    <t>Черкасова Наталья (КМС)</t>
  </si>
  <si>
    <t>Мусаева Динара (1)</t>
  </si>
  <si>
    <t>Гиль Людмила (КМС)</t>
  </si>
  <si>
    <t>Пантелеева Юлия (1)</t>
  </si>
  <si>
    <t>Камаева Юлия (2)</t>
  </si>
  <si>
    <t>Уколова Вероника (КМС)</t>
  </si>
  <si>
    <t>Долгоруков Иван (1)</t>
  </si>
  <si>
    <t>Тябликов Арсений (2)</t>
  </si>
  <si>
    <t>Попов Максим (МС)</t>
  </si>
  <si>
    <t>Веселов Павел (МС)</t>
  </si>
  <si>
    <t>Мкртумян Сурен (МС)</t>
  </si>
  <si>
    <t>Козинец Алексей (КМС)</t>
  </si>
  <si>
    <t>Меркулов Андрей (КМС)</t>
  </si>
  <si>
    <t>Попов Денис (КМС)</t>
  </si>
  <si>
    <t>Обухов Николай (1)</t>
  </si>
  <si>
    <t>Фадин Савелий (КМС)</t>
  </si>
  <si>
    <t>Мизонов Никита (3)</t>
  </si>
  <si>
    <t>Четвергов Михаил (МСМК)</t>
  </si>
  <si>
    <t>Шатов Иван (МС)</t>
  </si>
  <si>
    <t>Костиков Михаил (КМС)</t>
  </si>
  <si>
    <t>Батяев Евгений (1)</t>
  </si>
  <si>
    <t>Крупка Сергей (МС)</t>
  </si>
  <si>
    <t>Пьянзин Александр (2)</t>
  </si>
  <si>
    <t>Киселев Михаил (МСМК)</t>
  </si>
  <si>
    <t>Морозов Дмитрий (МС)</t>
  </si>
  <si>
    <t>Кожедуб Андрей (МС)</t>
  </si>
  <si>
    <t>Зяблицкий Даниил (КМС)</t>
  </si>
  <si>
    <t>Кузьмищев Владислав (Элита)</t>
  </si>
  <si>
    <t>Евсеев Сергей (МСМК)</t>
  </si>
  <si>
    <t>Шатило Игорь (МС)</t>
  </si>
  <si>
    <t>Сергеев Алексей (КМС)</t>
  </si>
  <si>
    <t>Бурдаков Сергей (1)</t>
  </si>
  <si>
    <t>Кузнецов Илья (1)</t>
  </si>
  <si>
    <t>Vahidinejad Saeid (1)</t>
  </si>
  <si>
    <t>Барабанов Герман (1)</t>
  </si>
  <si>
    <t>Филькин Егор (3)</t>
  </si>
  <si>
    <t>Аверкиев Лев (1)</t>
  </si>
  <si>
    <t>Ломанов Кирилл (Элита)</t>
  </si>
  <si>
    <t>Желудев Виталий (МСМК)</t>
  </si>
  <si>
    <t>Зайцев Павел (КМС)</t>
  </si>
  <si>
    <t>Луппов Николай (КМС)</t>
  </si>
  <si>
    <t>Дудченко Александр (3)</t>
  </si>
  <si>
    <t>Парфенов Михаил (КМС)</t>
  </si>
  <si>
    <t>Крылов Алексей (МС)</t>
  </si>
  <si>
    <t>Смирнов Алексей (МС)</t>
  </si>
  <si>
    <t>Жуков Михаил (МС)</t>
  </si>
  <si>
    <t>Руруа Тариел (КМС)</t>
  </si>
  <si>
    <t>Зубаков Глеб (1)</t>
  </si>
  <si>
    <t>Мураталиев Акбар (3)</t>
  </si>
  <si>
    <t>Zamani Reza (КМС)</t>
  </si>
  <si>
    <t>Сергеев Вячеслав (КМС)</t>
  </si>
  <si>
    <t>Зорина Анастасия (КМС)</t>
  </si>
  <si>
    <t>Чекмасов Даниил (КМС)</t>
  </si>
  <si>
    <t>Алиев Эмиль (1)</t>
  </si>
  <si>
    <t>Илясов Антон (МСМК)</t>
  </si>
  <si>
    <t>Булгарь Андрей (МСМК)</t>
  </si>
  <si>
    <t>Карев Алексей (КМС)</t>
  </si>
  <si>
    <t>Кирсанов Артем (КМС)</t>
  </si>
  <si>
    <t>Ефремов Валентин (КМС)</t>
  </si>
  <si>
    <t>Гнатко Виталий (1)</t>
  </si>
  <si>
    <t>Борисов Артур (КМС)</t>
  </si>
  <si>
    <t>Морозов Константин (МСМК)</t>
  </si>
  <si>
    <t>Васев Александр (МСМК)</t>
  </si>
  <si>
    <t>Аникин Сергей (МС)</t>
  </si>
  <si>
    <t>Довгоборец Василий (МС)</t>
  </si>
  <si>
    <t>Решетников Артём (МС)</t>
  </si>
  <si>
    <t>Жуманьязов Жаслан (1)</t>
  </si>
  <si>
    <t>Сытников Валерий (МС)</t>
  </si>
  <si>
    <t>Бернецкий Владислав (МС)</t>
  </si>
  <si>
    <t>Клопков Илья (МС)</t>
  </si>
  <si>
    <t>Liouras Athanasios (МС)</t>
  </si>
  <si>
    <t>Марченко Владимир (МС)</t>
  </si>
  <si>
    <t>Лебедь Алексей (КМС)</t>
  </si>
  <si>
    <t>Клюшев Александр (МСМК)</t>
  </si>
  <si>
    <t>Лившиц Олег (МСМК)</t>
  </si>
  <si>
    <t>Крылов Виктор (МС)</t>
  </si>
  <si>
    <t>Барсукова Надежда (1)</t>
  </si>
  <si>
    <t>Астахова Елена (1)</t>
  </si>
  <si>
    <t>Бочарова Галина (КМС)</t>
  </si>
  <si>
    <t>Калинцева Кристина (3)</t>
  </si>
  <si>
    <t>Калёнова Александра (3)</t>
  </si>
  <si>
    <t>Кныш Виктория (МС)</t>
  </si>
  <si>
    <t>Парфенова Виктория (2)</t>
  </si>
  <si>
    <t>Прокаев Николай (1)</t>
  </si>
  <si>
    <t>Сухобок Максим (МС)</t>
  </si>
  <si>
    <t>Щербаков Павел (1)</t>
  </si>
  <si>
    <t>Александров Юрий (2)</t>
  </si>
  <si>
    <t>Капитонов Вячеслав (1)</t>
  </si>
  <si>
    <t>Зубков Павел (МСМК)</t>
  </si>
  <si>
    <t>Каленкин Максим (МС)</t>
  </si>
  <si>
    <t>Барабанов Герман (3)</t>
  </si>
  <si>
    <t>Катигариди Илья (3)</t>
  </si>
  <si>
    <t>Хомов Евгений (МСМК)</t>
  </si>
  <si>
    <t>Фокин Владимир (КМС)</t>
  </si>
  <si>
    <t>Ермолаев Павел (1)</t>
  </si>
  <si>
    <t>Курочкин Валерий (МС)</t>
  </si>
  <si>
    <t>Жуков Александр (МС)</t>
  </si>
  <si>
    <t>Кончаков Владимир (Элита)</t>
  </si>
  <si>
    <t>Медведева Юлия (Элита)</t>
  </si>
  <si>
    <t>Зайцева Екатерина (Элита)</t>
  </si>
  <si>
    <t>Сибалакова Екатерина (Элита)</t>
  </si>
  <si>
    <t>Пуговкина Алла (МСМК)</t>
  </si>
  <si>
    <t>Силушин Павел (МСМК)</t>
  </si>
  <si>
    <t>Барановский Игорь (МС)</t>
  </si>
  <si>
    <t>Семенихин Иван (МС)</t>
  </si>
  <si>
    <t>Матевосян Давид (МС)</t>
  </si>
  <si>
    <t>Петров Всеволод (МС)</t>
  </si>
  <si>
    <t>Шейкин Алексей (КМС)</t>
  </si>
  <si>
    <t>Попов Сергей (МС)</t>
  </si>
  <si>
    <t>Шкудас Владислав (Элита)</t>
  </si>
  <si>
    <t>Солнцев Иван (МС)</t>
  </si>
  <si>
    <t>Стрильчук Сергей (МСМК)</t>
  </si>
  <si>
    <t>Ольховский Александр (МСМК)</t>
  </si>
  <si>
    <t>Каява Кирилл (МСМК)</t>
  </si>
  <si>
    <t>Бубнов Дмитрий (МСМК)</t>
  </si>
  <si>
    <t>Лисогор Алексей (МСМК)</t>
  </si>
  <si>
    <t>Длужневская Владислава (Элита)</t>
  </si>
  <si>
    <t>Чугуров Сергей (МСМК)</t>
  </si>
  <si>
    <t>Кончаков Владимир (МСМК)</t>
  </si>
  <si>
    <t>Курочкин Сергей (МСМК)</t>
  </si>
  <si>
    <t>Пасечник Константин (МС)</t>
  </si>
  <si>
    <t>Лебедева Вероника (Элита)</t>
  </si>
  <si>
    <t>Федорова Анастасия (МС)</t>
  </si>
  <si>
    <t>Опарина Анна (КМС)</t>
  </si>
  <si>
    <t>Белова Надежда (МС)</t>
  </si>
  <si>
    <t>Райляну Диана (1)</t>
  </si>
  <si>
    <t>Павличенко Алла (КМС)</t>
  </si>
  <si>
    <t>Боброва Полина (2)</t>
  </si>
  <si>
    <t>Субботина Елена (3)</t>
  </si>
  <si>
    <t>Долгоруков Иван (2)</t>
  </si>
  <si>
    <t>Дулин Алексей (1)</t>
  </si>
  <si>
    <t>Савин Григорий (2юн)</t>
  </si>
  <si>
    <t>Проничкин Сергей (МС)</t>
  </si>
  <si>
    <t>Поляков Максим (1 юн)</t>
  </si>
  <si>
    <t>Липин Владимир (1 юн)</t>
  </si>
  <si>
    <t>Сумцов Леонид (КМС)</t>
  </si>
  <si>
    <t>Накопия Эмиль (КМС)</t>
  </si>
  <si>
    <t>Карпов Евгений (КМС)</t>
  </si>
  <si>
    <t>Пшегодский Сергей (КМС)</t>
  </si>
  <si>
    <t>Мустафин Сергей (КМС)</t>
  </si>
  <si>
    <t>Резинкин Станислав (КМС)</t>
  </si>
  <si>
    <t>Ситдиков Кирилл (КМС)</t>
  </si>
  <si>
    <t>Соков Денис (МСМК)</t>
  </si>
  <si>
    <t>Мерешков Ахмед (МСМК)</t>
  </si>
  <si>
    <t>Хозяйкин Антон (МС)</t>
  </si>
  <si>
    <t>Озорнов Роман (МС)</t>
  </si>
  <si>
    <t>Минасян Артур (МС)</t>
  </si>
  <si>
    <t>Самара Станислав (КМС)</t>
  </si>
  <si>
    <t>Данаяров Бахтияр (КМС)</t>
  </si>
  <si>
    <t>Аветисян Сероб (КМС)</t>
  </si>
  <si>
    <t>Васильев Роман (МСМК)</t>
  </si>
  <si>
    <t>Вдовин Андрей (МС)</t>
  </si>
  <si>
    <t>Юдин Даниил (1)</t>
  </si>
  <si>
    <t>Трошин Даниил (2)</t>
  </si>
  <si>
    <t>Прокопенко Евгений (1 юн)</t>
  </si>
  <si>
    <t>Дёжин Андрей (МС)</t>
  </si>
  <si>
    <t>Киселев Михаил (КМС)</t>
  </si>
  <si>
    <t>Першеев Михаил (1)</t>
  </si>
  <si>
    <t>Панкратов Илья (Элита)</t>
  </si>
  <si>
    <t>Погосов Левон (МС)</t>
  </si>
  <si>
    <t>Нечаев Дмитрий (МС)</t>
  </si>
  <si>
    <t>Федоровский Владимир (КМС)</t>
  </si>
  <si>
    <t>Татаренков Роман (КМС)</t>
  </si>
  <si>
    <t>Батанов Егор (1)</t>
  </si>
  <si>
    <t>Гавриков Кирилл (3)</t>
  </si>
  <si>
    <t>Vahidinejad Saeid (3)</t>
  </si>
  <si>
    <t>Барабанов Герман (КМС)</t>
  </si>
  <si>
    <t>Самусенков Иван (МСМК)</t>
  </si>
  <si>
    <t>Литовский Михаил (КМС)</t>
  </si>
  <si>
    <t>Yazdani Jalal (МСМК)</t>
  </si>
  <si>
    <t>Романов Никита (МСМК)</t>
  </si>
  <si>
    <t>Федорюк Максим (МС)</t>
  </si>
  <si>
    <t>Янкин Иван (МС)</t>
  </si>
  <si>
    <t>Сергеев Антон (КМС)</t>
  </si>
  <si>
    <t>Сынков Дмитрий (1)</t>
  </si>
  <si>
    <t>Воробьев Александр (МС)</t>
  </si>
  <si>
    <t>Кондаков Алексей (МС)</t>
  </si>
  <si>
    <t>Буслаев Даниил (1)</t>
  </si>
  <si>
    <t>Скворцов Михаил (2 юн)</t>
  </si>
  <si>
    <t>Володин Кирилл (МС)</t>
  </si>
  <si>
    <t>Хамхоев Ибрагим (Элита)</t>
  </si>
  <si>
    <t>Черемисин Артур (МС)</t>
  </si>
  <si>
    <t>Жарков Василий (КМС)</t>
  </si>
  <si>
    <t>Сахно Иван (КМС)</t>
  </si>
  <si>
    <t>Климанов Игорь (КМС)</t>
  </si>
  <si>
    <t>Красовский Алексей (КМС)</t>
  </si>
  <si>
    <t>Казанцев Иван (МС)</t>
  </si>
  <si>
    <t>Скворцов Михаил (1)</t>
  </si>
  <si>
    <t>Макевнин Андрей (КМС)</t>
  </si>
  <si>
    <t>Mehrdad Gholamreza (1)</t>
  </si>
  <si>
    <t>Челышев Андрей (3)</t>
  </si>
  <si>
    <t>Клименчук Илья (1)</t>
  </si>
  <si>
    <t>Нащекина Маргарита (МСМК)</t>
  </si>
  <si>
    <t>Серкова Мария (МС)</t>
  </si>
  <si>
    <t>Хабирова Валерия (КМС)</t>
  </si>
  <si>
    <t>Чернина Элина (1)</t>
  </si>
  <si>
    <t>Белоусов Роман (Элита)</t>
  </si>
  <si>
    <t>Эргашев Ильхом (КМС)</t>
  </si>
  <si>
    <t>Данельянц Артем (КМС)</t>
  </si>
  <si>
    <t>Вильчицкий Анатолий (3)</t>
  </si>
  <si>
    <t>Белоус Артур (МСМК)</t>
  </si>
  <si>
    <t>Александров Юрий (1)</t>
  </si>
  <si>
    <t>Яковский Александр (МСМК)</t>
  </si>
  <si>
    <t>Можаев Сергей (КМС)</t>
  </si>
  <si>
    <t>Янаки Дмитрий (1)</t>
  </si>
  <si>
    <t>Лукьянов Богдан (2)</t>
  </si>
  <si>
    <t>Журавлев Андрей (КМС)</t>
  </si>
  <si>
    <t>Хомов Евгений (МС)</t>
  </si>
  <si>
    <t>Дорошенков Антон (МС)</t>
  </si>
  <si>
    <t>Щеклеев Роман (КМС)</t>
  </si>
  <si>
    <t>Мартиросов Эдуард (МС)</t>
  </si>
  <si>
    <t>Попов Владислав (МС)</t>
  </si>
  <si>
    <t>Родионов Константин (КМС)</t>
  </si>
  <si>
    <t>Тыщенко Александр (МС)</t>
  </si>
  <si>
    <t>Кондратьев Павел (МС)</t>
  </si>
  <si>
    <t>Чередниченко Александр (МС)</t>
  </si>
  <si>
    <t>Мельников Алексей (МС)</t>
  </si>
  <si>
    <t>Чмиревский Михаил (КМС)</t>
  </si>
  <si>
    <t>Солнцев Иван (КМС)</t>
  </si>
  <si>
    <t>Клецов Александр (1)</t>
  </si>
  <si>
    <t>Сивачев Дмитрий (КМС)</t>
  </si>
  <si>
    <t>Alexopoulos Konstantinos (МС)</t>
  </si>
  <si>
    <t>Клецов Александр (КМС)</t>
  </si>
  <si>
    <t>Картавов Сергей (КМС)</t>
  </si>
  <si>
    <t>Кочетков Андрей (1)</t>
  </si>
  <si>
    <t>Серёгин Михаил (КМС)</t>
  </si>
  <si>
    <t>Сагдиев Рустем (МСМК)</t>
  </si>
  <si>
    <t>Зорин Евгений (МС)</t>
  </si>
  <si>
    <t>Спиркин Евгений (МС)</t>
  </si>
  <si>
    <t>Столяров Алексей (МС)</t>
  </si>
  <si>
    <t>Елисеев Виктор (МС)</t>
  </si>
  <si>
    <t>Андронов Александр (МС)</t>
  </si>
  <si>
    <t>Цымбалов Дмитрий (КМС)</t>
  </si>
  <si>
    <t>Филинович Сергей (КМС)</t>
  </si>
  <si>
    <t>Александров Евгений (МС)</t>
  </si>
  <si>
    <t>Ковригин Алексей (МС)</t>
  </si>
  <si>
    <t>Прощенков Андрей (МС)</t>
  </si>
  <si>
    <t>Лукьянов Андрей (КМС)</t>
  </si>
  <si>
    <t>Чернов Валерий (КМС)</t>
  </si>
  <si>
    <t>Узнадзе Шакро (МС)</t>
  </si>
  <si>
    <t>Тарасов Вадим (1)</t>
  </si>
  <si>
    <t>Зайцев Виталий (КМС)</t>
  </si>
  <si>
    <t>Педченко Александр (МС)</t>
  </si>
  <si>
    <t>Маркелов Алексей (МСМК)</t>
  </si>
  <si>
    <t>Лисютин Максим (МСМК)</t>
  </si>
  <si>
    <t>Sapounakis Pantelis (МСМК)</t>
  </si>
  <si>
    <t>Молчанов Сергей (МС)</t>
  </si>
  <si>
    <t>Сибалаков Владимир (МС)</t>
  </si>
  <si>
    <t>Дмитриев Эдуард (МС)</t>
  </si>
  <si>
    <t>Пузырев Денис (КМС)</t>
  </si>
  <si>
    <t>Дубина Николай (КМС)</t>
  </si>
  <si>
    <t>Логунов Анатолий (1)</t>
  </si>
  <si>
    <t>Самсонов Дмитрий (КМС)</t>
  </si>
  <si>
    <t>Инютин Андрей (МС)</t>
  </si>
  <si>
    <t>Rankin Bejerano (МС)</t>
  </si>
  <si>
    <t>Open (05.04.1961)/55</t>
  </si>
  <si>
    <t xml:space="preserve">Дубина Николай </t>
  </si>
  <si>
    <t>Гречкин Егор (2 юн)</t>
  </si>
  <si>
    <t>Юсупов Ришат (2)</t>
  </si>
  <si>
    <t>Липин Лев (2 юн)</t>
  </si>
  <si>
    <t>Выборов Евгений ( 1 юн)</t>
  </si>
  <si>
    <t>Молчанов Юрий (1 юн)</t>
  </si>
  <si>
    <t>Дурнов Роман (МСМК)</t>
  </si>
  <si>
    <t>Томилин Максим (1)</t>
  </si>
  <si>
    <t>Извеков Андрей (МС)</t>
  </si>
  <si>
    <t>Ломакин Денис (1)</t>
  </si>
  <si>
    <t>Юдин Григорий (МС)</t>
  </si>
  <si>
    <t>Прокопьев Александр (МСМК)</t>
  </si>
  <si>
    <t>Авдеева Юлия (КМС)</t>
  </si>
  <si>
    <t>Шишкин Андрей (КМС)</t>
  </si>
  <si>
    <t>Петров Андрей (МС)</t>
  </si>
  <si>
    <t>Чухнов Павел (МС)</t>
  </si>
  <si>
    <t>Ушков Илья (МС)</t>
  </si>
  <si>
    <t>Гнатко Виталий (2)</t>
  </si>
  <si>
    <t>Уразов Владимир (КМС)</t>
  </si>
  <si>
    <t>Юханов Александр (2)</t>
  </si>
  <si>
    <t>Шморгун Андрей (МС)</t>
  </si>
  <si>
    <t>Сверчкова Анна (КМС)</t>
  </si>
  <si>
    <t>Ярмухаметов Дмитрий (1)</t>
  </si>
  <si>
    <t>Виноградов Сергей (1)</t>
  </si>
  <si>
    <t>Летяев Владимир (1)</t>
  </si>
  <si>
    <t>Есаков Денис (1)</t>
  </si>
  <si>
    <t>Чупряков Игорь (МС)</t>
  </si>
  <si>
    <t>Ивачев Александр (МС)</t>
  </si>
  <si>
    <t>Корытко Сергей (МС)</t>
  </si>
  <si>
    <t>Сытников Валерий (КМС)</t>
  </si>
  <si>
    <t>Sapounakis Pantelis (МС)</t>
  </si>
  <si>
    <t>Курило Екатерина (КМС)</t>
  </si>
  <si>
    <t>Добря Кристина (МС)</t>
  </si>
  <si>
    <t>Рямаева Людмила (КМС)</t>
  </si>
  <si>
    <t>Смирнова Ирина (КМС)</t>
  </si>
  <si>
    <t>Короткова Екатерина (2)</t>
  </si>
  <si>
    <t>Воронина Мария (1)</t>
  </si>
  <si>
    <t>Уколова Вероника (МС)</t>
  </si>
  <si>
    <t>Ганжа Данила (3)</t>
  </si>
  <si>
    <t>Зеленый Олег (МС)</t>
  </si>
  <si>
    <t>Попов Максим (КМС)</t>
  </si>
  <si>
    <t>Мирошниченко Михаил (2)</t>
  </si>
  <si>
    <t>Тремаскин Никита (3)</t>
  </si>
  <si>
    <t>Селихов Егор (МС)</t>
  </si>
  <si>
    <t>Быховец Артем (МС)</t>
  </si>
  <si>
    <t>Секельчук Роман (МС)</t>
  </si>
  <si>
    <t>Федорков Александр (1)</t>
  </si>
  <si>
    <t>Казарян Артак (1)</t>
  </si>
  <si>
    <t>Кузин Кирилл (КМС)</t>
  </si>
  <si>
    <t>Пилат Георгий (1)</t>
  </si>
  <si>
    <t>Кляузов Сергей (МС)</t>
  </si>
  <si>
    <t>Витовский Василий (МС)</t>
  </si>
  <si>
    <t>Шумбасов Валерий (Элита)</t>
  </si>
  <si>
    <t>Ненартович Юлия (1)</t>
  </si>
  <si>
    <t>Шабанова Анастасия (3)</t>
  </si>
  <si>
    <t>Андриенко Евгения (3)</t>
  </si>
  <si>
    <t>Насонова Ольга (МСМК)</t>
  </si>
  <si>
    <t>Панферова Мария (Элита)</t>
  </si>
  <si>
    <t>Мендалиева Эльвира (МС)</t>
  </si>
  <si>
    <t>Рек Александр (МС)</t>
  </si>
  <si>
    <t>Сухинин Владимир (3)</t>
  </si>
  <si>
    <t>Уланов Артем (1)</t>
  </si>
  <si>
    <t>Смирнов Сергей (МСМК)</t>
  </si>
  <si>
    <t>Сметанюк Андрей (1)</t>
  </si>
  <si>
    <t>Скоробогатченко Роман (МСМК)</t>
  </si>
  <si>
    <t>Колосков Борис (МС)</t>
  </si>
  <si>
    <t>Аманатов Максим (КМС)</t>
  </si>
  <si>
    <t>Смирнов Сергей (1)</t>
  </si>
  <si>
    <t>Липник Игорь (КМС)</t>
  </si>
  <si>
    <t>Кудинов Владимир (1)</t>
  </si>
  <si>
    <t>Степанов Никита (2)</t>
  </si>
  <si>
    <t>Якушевич Алексей (МС)</t>
  </si>
  <si>
    <t>Проскуряков Алексей (1)</t>
  </si>
  <si>
    <t>Григорьев Павел (3)</t>
  </si>
  <si>
    <t>Alexopoulos Konstantinos (КМС)</t>
  </si>
  <si>
    <t>Магомадов Руслан (2)</t>
  </si>
  <si>
    <t>Аветов Глеб (3)</t>
  </si>
  <si>
    <t>Коробов Илья (КМС)</t>
  </si>
  <si>
    <t>Кобанов Артем (МСМК)</t>
  </si>
  <si>
    <t>Микитас Даниил (МС)</t>
  </si>
  <si>
    <t>Задков Константин (КМС)</t>
  </si>
  <si>
    <t>Прокопьев Александр (МС)</t>
  </si>
  <si>
    <t>Лузанов Александр (КМС)</t>
  </si>
  <si>
    <t>Liouras Athanasios (КМС)</t>
  </si>
  <si>
    <t>Бунин Олег (КМС)</t>
  </si>
  <si>
    <t>Асхабов Константин (КМС)</t>
  </si>
  <si>
    <t>Чичикин Андрей (2)</t>
  </si>
  <si>
    <t>Подрез Иван (МСМК)</t>
  </si>
  <si>
    <t>408,2435</t>
  </si>
  <si>
    <t>Новиков Максим (КМС)</t>
  </si>
  <si>
    <t>Юдин Григорий (КМС)</t>
  </si>
  <si>
    <t>Бурдаков Сергей (2)</t>
  </si>
  <si>
    <t>Грязев Антон (КМС)</t>
  </si>
  <si>
    <t>Шишкин Андрей (1)</t>
  </si>
  <si>
    <t>Хабирова Валерия (МС)</t>
  </si>
  <si>
    <t>Дога Виктория (МС)</t>
  </si>
  <si>
    <t>Зубков Павел (МС)</t>
  </si>
  <si>
    <t>Сулейманов Владислав (КМС)</t>
  </si>
  <si>
    <t>Сидоров Игорь (МС)</t>
  </si>
  <si>
    <t>Зеленин Сергей (КМС)</t>
  </si>
  <si>
    <t>Бельцов Артур (МС)</t>
  </si>
  <si>
    <t>Коваленко Кирилл (МС)</t>
  </si>
  <si>
    <t>Потапов Александр (МС)</t>
  </si>
  <si>
    <t>Шарапов Игорь (МС)</t>
  </si>
  <si>
    <t>Высочин Павел (МС)</t>
  </si>
  <si>
    <t>Ермолаев Павел (2)</t>
  </si>
  <si>
    <t>245,826</t>
  </si>
  <si>
    <t>Корпорация монстров</t>
  </si>
  <si>
    <t>Сборная Санкт-Петербурга</t>
  </si>
  <si>
    <t>Ненартович Дмитрий  (1)</t>
  </si>
  <si>
    <t>Ненартович Дмитрий (1)</t>
  </si>
  <si>
    <t>Командный зачет</t>
  </si>
  <si>
    <t>Чемпионат Европы СПР                                                                                                                                                                                 Пауэрспорт ДК</t>
  </si>
  <si>
    <t>Чемпионат Европы IPL Становая тяга в экипировке ДК</t>
  </si>
  <si>
    <t xml:space="preserve">Чемпионат Европы IPL Становая тяга в экипировке </t>
  </si>
  <si>
    <t>Чемпионат Европы IPL                                                                                                                                                            Жим лежа в однослойной экипировке
г. Долгопрудный, 21 - 24 апреля 2016 г.</t>
  </si>
  <si>
    <t xml:space="preserve">Полетаева Светлана  </t>
  </si>
  <si>
    <t xml:space="preserve">Беляк Марина </t>
  </si>
  <si>
    <t>Уколова Вероника (МСМК)</t>
  </si>
  <si>
    <t>Григин Даниил (МС)</t>
  </si>
  <si>
    <t>Кочетов Александр (МСМК)</t>
  </si>
  <si>
    <t>Насонова Ольга (Элита)</t>
  </si>
  <si>
    <t>Толстошеева Виктория (2)</t>
  </si>
  <si>
    <t>Савельев Егор (3)</t>
  </si>
  <si>
    <t>Хаматдинов Даниил (1)</t>
  </si>
  <si>
    <t>Егоров Дмитрий (МС)</t>
  </si>
  <si>
    <t>Liouras Athanasios (1)</t>
  </si>
  <si>
    <t>Лебедь Алексей (1)</t>
  </si>
  <si>
    <t>Подрез Иван (Элита)</t>
  </si>
  <si>
    <t>Крючкова Екатерина (КМС)</t>
  </si>
  <si>
    <t>Чуракова Юлия (1)</t>
  </si>
  <si>
    <t>Игнатенко Евгения (КМС)</t>
  </si>
  <si>
    <t>Охапкина Светлана (МСМК)</t>
  </si>
  <si>
    <t>Казнакова Ирина (КМС)</t>
  </si>
  <si>
    <t>Филькин Егор (2)</t>
  </si>
  <si>
    <t>Попов Денис (1)</t>
  </si>
  <si>
    <t>Герун Андрей (КМС)</t>
  </si>
  <si>
    <t>Коновалов Егор (МС)</t>
  </si>
  <si>
    <t>Петров Евгений (МС)</t>
  </si>
  <si>
    <t>Борисов Владимир (1)</t>
  </si>
  <si>
    <t>Регулярный Иван (МСМК)</t>
  </si>
  <si>
    <t>Веселова Светлана (МС)</t>
  </si>
  <si>
    <t>Архипов Илья (2)</t>
  </si>
  <si>
    <t>Николаев Сергей (2)</t>
  </si>
  <si>
    <t>Кровиков Александр (КМС)</t>
  </si>
  <si>
    <t>Кузнецова Оксана (МС)</t>
  </si>
  <si>
    <t>Чернобаева Лариса (МС)</t>
  </si>
  <si>
    <t>Филиппова Александра (2)</t>
  </si>
  <si>
    <t>Ахметов Тимур (МС)</t>
  </si>
  <si>
    <t>438,0390</t>
  </si>
  <si>
    <t>765,0</t>
  </si>
  <si>
    <t>Григорьев Андрей (1)</t>
  </si>
  <si>
    <t>Пуговкина Алла (КМС)</t>
  </si>
  <si>
    <t>Цветков Василий (МСМК)</t>
  </si>
  <si>
    <t>Емельянов Алексей (МС)</t>
  </si>
  <si>
    <t>Пряхин Станислав (МС)</t>
  </si>
  <si>
    <t>Шабров Александр (МСМК)</t>
  </si>
  <si>
    <t>Липин Илья (1)</t>
  </si>
  <si>
    <t>Белкин Юрий (Элита)</t>
  </si>
  <si>
    <t>Каширин Алексей (Элита)</t>
  </si>
  <si>
    <t>Мураткин Александр (МСМК)</t>
  </si>
  <si>
    <t>Курков Алексей (КМС)</t>
  </si>
  <si>
    <t>Емцев Николай (1)</t>
  </si>
  <si>
    <t>Логинов Дмитрий (МСМК)</t>
  </si>
  <si>
    <t>Лытасова Кристина (КМС)</t>
  </si>
  <si>
    <t>Синицына Евгения (КМС)</t>
  </si>
  <si>
    <t>Тюленева Вероника (КМС)</t>
  </si>
  <si>
    <t>Кончакова Наталья (МСМК)</t>
  </si>
  <si>
    <t>Кольцова Ольга (МС)</t>
  </si>
  <si>
    <t>Реброва Наталья (МС)</t>
  </si>
  <si>
    <t>Сагдеева Кристина (1)</t>
  </si>
  <si>
    <t>Соломатина Анна (1)</t>
  </si>
  <si>
    <t>Ульшина Евгения (3)</t>
  </si>
  <si>
    <t>Грачев Николай (2)</t>
  </si>
  <si>
    <t>Шеремета Николай (3)</t>
  </si>
  <si>
    <t>Шефф Павел (КМС)</t>
  </si>
  <si>
    <t>Гревцев Александр (2)</t>
  </si>
  <si>
    <t>Ковалевский Георгий (КМС)</t>
  </si>
  <si>
    <t>Холин Алексей (КМС)</t>
  </si>
  <si>
    <t>Игаллун Насим (МС)</t>
  </si>
  <si>
    <t>Кармишин Андрей (1)</t>
  </si>
  <si>
    <t>Крашенинников Сергей (1)</t>
  </si>
  <si>
    <t>Киреев Павел (1)</t>
  </si>
  <si>
    <t>Антоняк Роман (МСМК)</t>
  </si>
  <si>
    <t>Опиченок Егор (МС)</t>
  </si>
  <si>
    <t>Ворм Сергей (1)</t>
  </si>
  <si>
    <t>Акопян Арсен (1)</t>
  </si>
  <si>
    <t>Серпичев Алексей (1)</t>
  </si>
  <si>
    <t>Бойцов Евгений (КМС)</t>
  </si>
  <si>
    <t>Мечишев Иван (КМС)</t>
  </si>
  <si>
    <t>Востоков Андрей (КМС)</t>
  </si>
  <si>
    <t>Точеный Григорий (2)</t>
  </si>
  <si>
    <t>Бариев Динар (МС)</t>
  </si>
  <si>
    <t>Бухман Антон (МС)</t>
  </si>
  <si>
    <t>Суджян Арташес (МС)</t>
  </si>
  <si>
    <t>Иванов Алексей (МС)</t>
  </si>
  <si>
    <t>Демченко Олег (МС)</t>
  </si>
  <si>
    <t>Демкив Наталия (КМС)</t>
  </si>
  <si>
    <t>Ломова Оксана (МС)</t>
  </si>
  <si>
    <t>Копаев Виктор (КМС)</t>
  </si>
  <si>
    <t>Греков Максим (МС)</t>
  </si>
  <si>
    <t>Бобров Виталий (МС)</t>
  </si>
  <si>
    <t>Секов Михаил (МС)</t>
  </si>
  <si>
    <t>Аверьянов Алексей (1)</t>
  </si>
  <si>
    <t>Состав судейской коллегии на Чемпионате Европы по пауэрлифтингу, его отдельным движениям, народному жиму, пауэрспорту и жимовому двоеборью по версиям федераций IPL/ФЖД и "Союз пауэрлифтеров России", а также на Чемпионате России по армлифтинге по версии федерации САР</t>
  </si>
  <si>
    <t>Долгопрудный, 21-24 апреля 2016 года</t>
  </si>
  <si>
    <t>Главный судья соревнований: Длужневская Эльвира/Вологда МК</t>
  </si>
  <si>
    <t>Главный секретарь соревнований: Новиков Степан/Вологда МК</t>
  </si>
  <si>
    <t xml:space="preserve">Секретари и спикеры: Ермолаева Дарья/Санкт Петербург РК, Трапезникова Наталья/Москва РК, Чугуров Сергей/Пенза, Смирнов Олег/Санкт Петербург НК, Шварц Сергей/Санкт Петербург, </t>
  </si>
  <si>
    <t>Александр Туманов/Серпухов НК, Емельянова Анастасия/Серпухов, Козырин Артем/Пенза.</t>
  </si>
  <si>
    <t>Аппеляционное жюри: Длужневская Эльвира/Вологда МК, Длужневский Сергей/Вологда МК, Новиков Степан/Вологда МК</t>
  </si>
  <si>
    <t>Центральный судья на помосте: Петров Андрей/Нижний Новгород МК, Гунина Ксения/Москва НК, Длужневская Эльвира/Вологда МК, Смирнов Олег/Санкт Петербург НК, Якименков Георгий/Вологда НК, Легчилин Роман/Кронштадт РК.</t>
  </si>
  <si>
    <t>Боковые судьи на помосте: Смирнов Олег/Санкт Петербург НК, Лысиков Дмитрий/Cанкт Петербург НК, Якименков Георгий/Вологда НК, Кузнецова Оксана/Санкт Петербург РК, Якушевич Алексей/Вологда РК, Волжский Алексей/Нижний Новгород РК,</t>
  </si>
  <si>
    <t xml:space="preserve">Гутова Анна/Чехов РК, Кондрашина Анна/Чехов РК, Емельянов Алексей/Серпухов НК, Белокопытов Владимир/Кемерово РК, Голландцев Дмитрий/Воронеж РК, Максимкин Даниил/Тольятти РК, Гунина Ксения/Москва НК, </t>
  </si>
  <si>
    <t>Силушин Павел/Рязань РК, Дворядкин Павел/Тольятти РК, Семенихин Иван/Саратов НК, Инютин Андрей/Брянск РК, Тершуков Юрий/Брянск РК, Легчилин Роман/Кронштадт РК, Извеков Андрей/Воронеж РК, Ольховский Александр/Воронеж НК.</t>
  </si>
  <si>
    <t>Морозов Константин (Элита)</t>
  </si>
  <si>
    <t>Павловский Дмитрий (МС)</t>
  </si>
  <si>
    <t>Легчилин Роман (МС)</t>
  </si>
  <si>
    <t>Пылаев Константин (КМС)</t>
  </si>
  <si>
    <t>Пленкин Денис(КМС)</t>
  </si>
  <si>
    <t>Борисов Владимир (КМС)</t>
  </si>
  <si>
    <t>Регулярный Иван (МС)</t>
  </si>
  <si>
    <t>Петров Андрей (КМС)</t>
  </si>
  <si>
    <t>Демченко Олег (МСМК)</t>
  </si>
  <si>
    <t>Шморгун Андрей (КМС)</t>
  </si>
  <si>
    <t>Шония Алексей (КМС)</t>
  </si>
  <si>
    <t>Мураткин Александр (МС)</t>
  </si>
  <si>
    <t>Першин Дмитрий (2)</t>
  </si>
  <si>
    <t>Циколенко Роман (3)</t>
  </si>
  <si>
    <t>Самко Петр (1)</t>
  </si>
  <si>
    <t>Баруздин Максим (МС)</t>
  </si>
  <si>
    <t>Пустовой Руслан (МС)</t>
  </si>
  <si>
    <t>Доронин Антон (3)</t>
  </si>
  <si>
    <t>Прокаев Николай (2)</t>
  </si>
  <si>
    <t>Богданов Тимур (1)</t>
  </si>
  <si>
    <t>Горикова Марина (МС)</t>
  </si>
  <si>
    <t>Бахматова Наталья (МС)</t>
  </si>
  <si>
    <t>Гусарова Алеся (1)</t>
  </si>
  <si>
    <t>Бардокин Владимир (1)</t>
  </si>
  <si>
    <t>Шалаев Александр (1)</t>
  </si>
  <si>
    <t>Варавин Павел (2)</t>
  </si>
  <si>
    <t>Гвоздев Георгий (2)</t>
  </si>
  <si>
    <t>Пастух Яков (КМС)</t>
  </si>
  <si>
    <t>Ковалёв Сергей (3)</t>
  </si>
  <si>
    <t>Богданов Константин (МС)</t>
  </si>
  <si>
    <t>Горячев Станислав (КМС)</t>
  </si>
  <si>
    <t>Суханов Михаил (КМС)</t>
  </si>
  <si>
    <t>Попов Алексей (КМС)</t>
  </si>
  <si>
    <t>Мамедов Эмин (Элита)</t>
  </si>
  <si>
    <t>Палей Андрей (МСМК)</t>
  </si>
  <si>
    <t>Кузнецова Юлия (Элита)</t>
  </si>
  <si>
    <t>Копытцев Денис (МСМК)</t>
  </si>
  <si>
    <t>Гринев Роман (МС)</t>
  </si>
  <si>
    <t>Быховец Артем (Элита)</t>
  </si>
  <si>
    <t>Мохов Сергей (Элита)</t>
  </si>
  <si>
    <t>Брагин Максим (МС)</t>
  </si>
  <si>
    <t>Зверев Олег (МСМК)</t>
  </si>
  <si>
    <t>Крыжановский Константин (МСМК)</t>
  </si>
  <si>
    <t>Абдюшев Эдуард (МС)</t>
  </si>
  <si>
    <t>Попов Владимир (КМС)</t>
  </si>
  <si>
    <t>Дударева Екатерина (МСМК)</t>
  </si>
  <si>
    <t>Славина Анна (3)</t>
  </si>
  <si>
    <t>Заховаева Анастасия (КМС)</t>
  </si>
  <si>
    <t>Куприянова Юлия (КМС)</t>
  </si>
  <si>
    <t>Руднева Лейла (КМС)</t>
  </si>
  <si>
    <t>Самойленко Алла (КМС)</t>
  </si>
  <si>
    <t>Ляшенко Кристина (КМС)</t>
  </si>
  <si>
    <t>Жилина Ольга (МСМК)</t>
  </si>
  <si>
    <t>Шведова-Виардо Юлия (МСМК)</t>
  </si>
  <si>
    <t>Казнакова Ирина (1)</t>
  </si>
  <si>
    <t>Шехватова Олеся (1)</t>
  </si>
  <si>
    <t>Стрелкова Татьяна (2)</t>
  </si>
  <si>
    <t>Марченко Екатерина (МС)</t>
  </si>
  <si>
    <t>Кузьмина Полина (КМС)</t>
  </si>
  <si>
    <t>Мисфахутдинова Алина (3)</t>
  </si>
  <si>
    <t>Гаврилова Ольга (3)</t>
  </si>
  <si>
    <t>Мураталиев Акбар</t>
  </si>
  <si>
    <t>Борькин Семен (МСМК)</t>
  </si>
  <si>
    <t>Башкиров Валерий (МС)</t>
  </si>
  <si>
    <t>Zamani Reza (МС)</t>
  </si>
  <si>
    <t>Гусев Станислав (КМС)</t>
  </si>
  <si>
    <t>Аветисян Борис (КМС)</t>
  </si>
  <si>
    <t>Снарский Константин (2)</t>
  </si>
  <si>
    <t>Макаров Николай (КМС)</t>
  </si>
  <si>
    <t>Скоробогатько Андрей (МС)</t>
  </si>
  <si>
    <t>Грабовой Борис (2)</t>
  </si>
  <si>
    <t>Хазиев Эргаш (МСМК)</t>
  </si>
  <si>
    <t>Shahani Mohammodhossein (КМС)</t>
  </si>
  <si>
    <t>Иванчинков Дмитрий (КМС)</t>
  </si>
  <si>
    <t>Потапов Семен (КМС)</t>
  </si>
  <si>
    <t>Левин Антон (КМС)</t>
  </si>
  <si>
    <t>Чубаров Владимир (КМС)</t>
  </si>
  <si>
    <t>Аветисян Карэн (МС)</t>
  </si>
  <si>
    <t>Галыгин Алексей (КМС)</t>
  </si>
  <si>
    <t>Majidi Bidgoli (МС)</t>
  </si>
  <si>
    <t>Рехлецкий Владислав (1)</t>
  </si>
  <si>
    <t>Яковлев Дмитрий (КМС)</t>
  </si>
  <si>
    <t xml:space="preserve">Солнечногорск/Московская область </t>
  </si>
  <si>
    <t>Ну, погоди!</t>
  </si>
  <si>
    <t>Artisan team</t>
  </si>
  <si>
    <t>Сборная СПб</t>
  </si>
  <si>
    <t>Slavia fitness</t>
  </si>
  <si>
    <t>Люберцы</t>
  </si>
  <si>
    <t>Лидер</t>
  </si>
  <si>
    <t xml:space="preserve">Командный зачет на Чемпионате Европы по пауэрлифтингу, его отдельным движениям, народному жиму, пауэрспорту и жимовому двоеборью по версиям федераций IPL/ФЖД и "Союз пауэрлифтеров России" </t>
  </si>
  <si>
    <t xml:space="preserve">Командный зачет на Чемпионате России по армлифтингу по версии федерации "Союз армлифтеров России" </t>
  </si>
  <si>
    <t>1325,94</t>
  </si>
  <si>
    <t>454,608</t>
  </si>
  <si>
    <t>454,609</t>
  </si>
  <si>
    <t>4501,308</t>
  </si>
  <si>
    <t>NNPT</t>
  </si>
  <si>
    <t>Чемпионат Европы СПР                                                                                                                                               Народный жим (1/2 вес) ДК</t>
  </si>
  <si>
    <t>77,6857</t>
  </si>
  <si>
    <t>Семенов Сергей</t>
  </si>
  <si>
    <t>Семенихин Иван</t>
  </si>
  <si>
    <t>151,4090</t>
  </si>
  <si>
    <t>Чепурнов</t>
  </si>
  <si>
    <t xml:space="preserve">ВЕСОВАЯ КАТЕГОРИЯ   130 </t>
  </si>
  <si>
    <t xml:space="preserve">Радин Денис (КМС) </t>
  </si>
  <si>
    <t>DQ</t>
  </si>
  <si>
    <t>Juniors 20-23 (23.03.1994)/22</t>
  </si>
  <si>
    <t>Евсеев Алексей</t>
  </si>
  <si>
    <t>93,8077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</si>
</sst>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  <numFmt numFmtId="177" formatCode="[$-FC19]dddd\,\ d\ mmmm\ yy\ &quot;г&quot;\."/>
  </numFmts>
  <fonts count="65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b/>
      <sz val="14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trike/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Tahoma"/>
      <family val="0"/>
    </font>
    <font>
      <u val="single"/>
      <sz val="10"/>
      <color indexed="39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trike/>
      <sz val="10"/>
      <color rgb="FFFF0000"/>
      <name val="Arial Cyr"/>
      <family val="0"/>
    </font>
    <font>
      <b/>
      <sz val="10"/>
      <color theme="1"/>
      <name val="Arial Cyr"/>
      <family val="0"/>
    </font>
    <font>
      <sz val="11"/>
      <color rgb="FF000000"/>
      <name val="Tahom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50" fillId="0" borderId="7" applyNumberFormat="0" applyFill="0" applyAlignment="0" applyProtection="0"/>
    <xf numFmtId="0" fontId="51" fillId="29" borderId="8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68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8" fillId="0" borderId="0" xfId="0" applyNumberFormat="1" applyFont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7" fillId="0" borderId="11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9" fillId="0" borderId="0" xfId="0" applyNumberFormat="1" applyFont="1" applyAlignment="1">
      <alignment horizontal="left" indent="1"/>
    </xf>
    <xf numFmtId="49" fontId="9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2" fontId="0" fillId="0" borderId="0" xfId="0" applyNumberFormat="1" applyAlignment="1">
      <alignment/>
    </xf>
    <xf numFmtId="49" fontId="10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49" fontId="59" fillId="0" borderId="11" xfId="0" applyNumberFormat="1" applyFont="1" applyBorder="1" applyAlignment="1">
      <alignment horizontal="center"/>
    </xf>
    <xf numFmtId="49" fontId="59" fillId="0" borderId="12" xfId="0" applyNumberFormat="1" applyFont="1" applyBorder="1" applyAlignment="1">
      <alignment horizontal="center"/>
    </xf>
    <xf numFmtId="49" fontId="59" fillId="0" borderId="13" xfId="0" applyNumberFormat="1" applyFont="1" applyBorder="1" applyAlignment="1">
      <alignment horizontal="center"/>
    </xf>
    <xf numFmtId="49" fontId="59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49" fontId="0" fillId="0" borderId="12" xfId="0" applyNumberFormat="1" applyFont="1" applyBorder="1" applyAlignment="1">
      <alignment horizontal="left"/>
    </xf>
    <xf numFmtId="49" fontId="60" fillId="0" borderId="0" xfId="0" applyNumberFormat="1" applyFont="1" applyAlignment="1">
      <alignment/>
    </xf>
    <xf numFmtId="49" fontId="59" fillId="0" borderId="13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indent="1"/>
    </xf>
    <xf numFmtId="49" fontId="4" fillId="0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59" fillId="0" borderId="12" xfId="0" applyNumberFormat="1" applyFont="1" applyFill="1" applyBorder="1" applyAlignment="1">
      <alignment horizontal="center"/>
    </xf>
    <xf numFmtId="49" fontId="59" fillId="0" borderId="14" xfId="0" applyNumberFormat="1" applyFont="1" applyFill="1" applyBorder="1" applyAlignment="1">
      <alignment horizontal="center"/>
    </xf>
    <xf numFmtId="49" fontId="59" fillId="0" borderId="11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49" fontId="59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59" fillId="0" borderId="16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22" xfId="0" applyNumberFormat="1" applyBorder="1" applyAlignment="1">
      <alignment/>
    </xf>
    <xf numFmtId="49" fontId="10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59" fillId="0" borderId="19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49" fontId="59" fillId="0" borderId="15" xfId="0" applyNumberFormat="1" applyFont="1" applyBorder="1" applyAlignment="1">
      <alignment horizontal="center"/>
    </xf>
    <xf numFmtId="49" fontId="59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59" fillId="0" borderId="2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2" fillId="16" borderId="12" xfId="0" applyNumberFormat="1" applyFont="1" applyFill="1" applyBorder="1" applyAlignment="1">
      <alignment horizontal="center"/>
    </xf>
    <xf numFmtId="49" fontId="2" fillId="16" borderId="13" xfId="0" applyNumberFormat="1" applyFont="1" applyFill="1" applyBorder="1" applyAlignment="1">
      <alignment horizontal="center"/>
    </xf>
    <xf numFmtId="49" fontId="2" fillId="16" borderId="14" xfId="0" applyNumberFormat="1" applyFont="1" applyFill="1" applyBorder="1" applyAlignment="1">
      <alignment horizontal="center"/>
    </xf>
    <xf numFmtId="49" fontId="2" fillId="16" borderId="11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2" fillId="16" borderId="11" xfId="0" applyNumberFormat="1" applyFont="1" applyFill="1" applyBorder="1" applyAlignment="1">
      <alignment horizontal="center"/>
    </xf>
    <xf numFmtId="49" fontId="2" fillId="16" borderId="23" xfId="0" applyNumberFormat="1" applyFont="1" applyFill="1" applyBorder="1" applyAlignment="1">
      <alignment horizontal="center"/>
    </xf>
    <xf numFmtId="49" fontId="59" fillId="0" borderId="17" xfId="0" applyNumberFormat="1" applyFont="1" applyBorder="1" applyAlignment="1">
      <alignment horizontal="center"/>
    </xf>
    <xf numFmtId="49" fontId="2" fillId="16" borderId="17" xfId="0" applyNumberFormat="1" applyFont="1" applyFill="1" applyBorder="1" applyAlignment="1">
      <alignment horizontal="center"/>
    </xf>
    <xf numFmtId="49" fontId="2" fillId="16" borderId="19" xfId="0" applyNumberFormat="1" applyFont="1" applyFill="1" applyBorder="1" applyAlignment="1">
      <alignment horizontal="center"/>
    </xf>
    <xf numFmtId="49" fontId="2" fillId="16" borderId="21" xfId="0" applyNumberFormat="1" applyFont="1" applyFill="1" applyBorder="1" applyAlignment="1">
      <alignment horizontal="center"/>
    </xf>
    <xf numFmtId="49" fontId="2" fillId="16" borderId="15" xfId="0" applyNumberFormat="1" applyFont="1" applyFill="1" applyBorder="1" applyAlignment="1">
      <alignment horizontal="center"/>
    </xf>
    <xf numFmtId="49" fontId="2" fillId="16" borderId="18" xfId="0" applyNumberFormat="1" applyFont="1" applyFill="1" applyBorder="1" applyAlignment="1">
      <alignment horizontal="center"/>
    </xf>
    <xf numFmtId="49" fontId="59" fillId="0" borderId="18" xfId="0" applyNumberFormat="1" applyFont="1" applyBorder="1" applyAlignment="1">
      <alignment horizontal="center"/>
    </xf>
    <xf numFmtId="49" fontId="2" fillId="16" borderId="12" xfId="0" applyNumberFormat="1" applyFont="1" applyFill="1" applyBorder="1" applyAlignment="1">
      <alignment horizontal="center"/>
    </xf>
    <xf numFmtId="49" fontId="2" fillId="16" borderId="14" xfId="0" applyNumberFormat="1" applyFont="1" applyFill="1" applyBorder="1" applyAlignment="1">
      <alignment horizontal="center"/>
    </xf>
    <xf numFmtId="49" fontId="2" fillId="16" borderId="13" xfId="0" applyNumberFormat="1" applyFont="1" applyFill="1" applyBorder="1" applyAlignment="1">
      <alignment horizontal="center"/>
    </xf>
    <xf numFmtId="49" fontId="2" fillId="16" borderId="15" xfId="0" applyNumberFormat="1" applyFont="1" applyFill="1" applyBorder="1" applyAlignment="1">
      <alignment horizontal="center"/>
    </xf>
    <xf numFmtId="49" fontId="2" fillId="16" borderId="18" xfId="0" applyNumberFormat="1" applyFont="1" applyFill="1" applyBorder="1" applyAlignment="1">
      <alignment horizontal="center"/>
    </xf>
    <xf numFmtId="49" fontId="2" fillId="16" borderId="20" xfId="0" applyNumberFormat="1" applyFont="1" applyFill="1" applyBorder="1" applyAlignment="1">
      <alignment horizontal="center"/>
    </xf>
    <xf numFmtId="49" fontId="2" fillId="16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59" fillId="0" borderId="23" xfId="0" applyNumberFormat="1" applyFont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9" fontId="2" fillId="16" borderId="12" xfId="0" applyNumberFormat="1" applyFont="1" applyFill="1" applyBorder="1" applyAlignment="1">
      <alignment horizontal="center"/>
    </xf>
    <xf numFmtId="49" fontId="2" fillId="16" borderId="14" xfId="0" applyNumberFormat="1" applyFont="1" applyFill="1" applyBorder="1" applyAlignment="1">
      <alignment horizontal="center"/>
    </xf>
    <xf numFmtId="49" fontId="2" fillId="16" borderId="13" xfId="0" applyNumberFormat="1" applyFont="1" applyFill="1" applyBorder="1" applyAlignment="1">
      <alignment horizontal="center"/>
    </xf>
    <xf numFmtId="49" fontId="2" fillId="16" borderId="17" xfId="0" applyNumberFormat="1" applyFont="1" applyFill="1" applyBorder="1" applyAlignment="1">
      <alignment horizontal="center"/>
    </xf>
    <xf numFmtId="49" fontId="2" fillId="16" borderId="15" xfId="0" applyNumberFormat="1" applyFont="1" applyFill="1" applyBorder="1" applyAlignment="1">
      <alignment horizontal="center"/>
    </xf>
    <xf numFmtId="49" fontId="2" fillId="16" borderId="18" xfId="0" applyNumberFormat="1" applyFont="1" applyFill="1" applyBorder="1" applyAlignment="1">
      <alignment horizontal="center"/>
    </xf>
    <xf numFmtId="49" fontId="2" fillId="16" borderId="20" xfId="0" applyNumberFormat="1" applyFont="1" applyFill="1" applyBorder="1" applyAlignment="1">
      <alignment horizontal="center"/>
    </xf>
    <xf numFmtId="49" fontId="2" fillId="16" borderId="21" xfId="0" applyNumberFormat="1" applyFont="1" applyFill="1" applyBorder="1" applyAlignment="1">
      <alignment horizontal="center"/>
    </xf>
    <xf numFmtId="49" fontId="2" fillId="16" borderId="0" xfId="0" applyNumberFormat="1" applyFont="1" applyFill="1" applyBorder="1" applyAlignment="1">
      <alignment horizontal="center"/>
    </xf>
    <xf numFmtId="49" fontId="2" fillId="16" borderId="16" xfId="0" applyNumberFormat="1" applyFont="1" applyFill="1" applyBorder="1" applyAlignment="1">
      <alignment horizontal="center"/>
    </xf>
    <xf numFmtId="49" fontId="2" fillId="16" borderId="22" xfId="0" applyNumberFormat="1" applyFont="1" applyFill="1" applyBorder="1" applyAlignment="1">
      <alignment horizontal="center"/>
    </xf>
    <xf numFmtId="49" fontId="2" fillId="16" borderId="19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72" fontId="2" fillId="0" borderId="22" xfId="0" applyNumberFormat="1" applyFont="1" applyBorder="1" applyAlignment="1">
      <alignment horizontal="center"/>
    </xf>
    <xf numFmtId="49" fontId="59" fillId="0" borderId="22" xfId="0" applyNumberFormat="1" applyFont="1" applyBorder="1" applyAlignment="1">
      <alignment horizontal="center"/>
    </xf>
    <xf numFmtId="49" fontId="59" fillId="0" borderId="12" xfId="0" applyNumberFormat="1" applyFont="1" applyFill="1" applyBorder="1" applyAlignment="1">
      <alignment/>
    </xf>
    <xf numFmtId="49" fontId="7" fillId="0" borderId="17" xfId="0" applyNumberFormat="1" applyFont="1" applyBorder="1" applyAlignment="1">
      <alignment/>
    </xf>
    <xf numFmtId="49" fontId="7" fillId="0" borderId="21" xfId="0" applyNumberFormat="1" applyFont="1" applyBorder="1" applyAlignment="1">
      <alignment/>
    </xf>
    <xf numFmtId="49" fontId="59" fillId="0" borderId="14" xfId="0" applyNumberFormat="1" applyFont="1" applyFill="1" applyBorder="1" applyAlignment="1">
      <alignment/>
    </xf>
    <xf numFmtId="49" fontId="10" fillId="0" borderId="20" xfId="0" applyNumberFormat="1" applyFont="1" applyBorder="1" applyAlignment="1">
      <alignment horizontal="center"/>
    </xf>
    <xf numFmtId="49" fontId="0" fillId="16" borderId="11" xfId="0" applyNumberFormat="1" applyFill="1" applyBorder="1" applyAlignment="1">
      <alignment/>
    </xf>
    <xf numFmtId="49" fontId="2" fillId="16" borderId="11" xfId="0" applyNumberFormat="1" applyFont="1" applyFill="1" applyBorder="1" applyAlignment="1">
      <alignment/>
    </xf>
    <xf numFmtId="49" fontId="2" fillId="16" borderId="15" xfId="0" applyNumberFormat="1" applyFont="1" applyFill="1" applyBorder="1" applyAlignment="1">
      <alignment/>
    </xf>
    <xf numFmtId="49" fontId="2" fillId="16" borderId="20" xfId="0" applyNumberFormat="1" applyFont="1" applyFill="1" applyBorder="1" applyAlignment="1">
      <alignment/>
    </xf>
    <xf numFmtId="49" fontId="2" fillId="16" borderId="17" xfId="0" applyNumberFormat="1" applyFont="1" applyFill="1" applyBorder="1" applyAlignment="1">
      <alignment/>
    </xf>
    <xf numFmtId="49" fontId="2" fillId="16" borderId="21" xfId="0" applyNumberFormat="1" applyFont="1" applyFill="1" applyBorder="1" applyAlignment="1">
      <alignment/>
    </xf>
    <xf numFmtId="49" fontId="7" fillId="0" borderId="23" xfId="0" applyNumberFormat="1" applyFont="1" applyBorder="1" applyAlignment="1">
      <alignment/>
    </xf>
    <xf numFmtId="49" fontId="2" fillId="16" borderId="14" xfId="0" applyNumberFormat="1" applyFont="1" applyFill="1" applyBorder="1" applyAlignment="1">
      <alignment/>
    </xf>
    <xf numFmtId="172" fontId="2" fillId="0" borderId="17" xfId="0" applyNumberFormat="1" applyFont="1" applyBorder="1" applyAlignment="1">
      <alignment horizontal="center"/>
    </xf>
    <xf numFmtId="172" fontId="2" fillId="0" borderId="21" xfId="0" applyNumberFormat="1" applyFont="1" applyBorder="1" applyAlignment="1">
      <alignment horizontal="center"/>
    </xf>
    <xf numFmtId="49" fontId="61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16" borderId="22" xfId="0" applyNumberFormat="1" applyFont="1" applyFill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172" fontId="2" fillId="0" borderId="20" xfId="0" applyNumberFormat="1" applyFont="1" applyBorder="1" applyAlignment="1">
      <alignment horizontal="center"/>
    </xf>
    <xf numFmtId="172" fontId="0" fillId="0" borderId="16" xfId="0" applyNumberFormat="1" applyBorder="1" applyAlignment="1">
      <alignment/>
    </xf>
    <xf numFmtId="49" fontId="10" fillId="16" borderId="12" xfId="0" applyNumberFormat="1" applyFont="1" applyFill="1" applyBorder="1" applyAlignment="1">
      <alignment horizontal="center"/>
    </xf>
    <xf numFmtId="49" fontId="3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49" fontId="0" fillId="0" borderId="17" xfId="0" applyNumberFormat="1" applyBorder="1" applyAlignment="1">
      <alignment horizontal="center"/>
    </xf>
    <xf numFmtId="49" fontId="0" fillId="0" borderId="13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19" xfId="0" applyNumberForma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0" fillId="0" borderId="21" xfId="0" applyNumberFormat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23" xfId="0" applyNumberFormat="1" applyBorder="1" applyAlignment="1">
      <alignment horizontal="left"/>
    </xf>
    <xf numFmtId="49" fontId="2" fillId="0" borderId="23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 indent="1"/>
    </xf>
    <xf numFmtId="49" fontId="9" fillId="0" borderId="0" xfId="0" applyNumberFormat="1" applyFont="1" applyAlignment="1">
      <alignment horizontal="left"/>
    </xf>
    <xf numFmtId="49" fontId="2" fillId="34" borderId="17" xfId="0" applyNumberFormat="1" applyFont="1" applyFill="1" applyBorder="1" applyAlignment="1">
      <alignment horizontal="center"/>
    </xf>
    <xf numFmtId="49" fontId="2" fillId="34" borderId="19" xfId="0" applyNumberFormat="1" applyFont="1" applyFill="1" applyBorder="1" applyAlignment="1">
      <alignment horizontal="center"/>
    </xf>
    <xf numFmtId="49" fontId="2" fillId="34" borderId="21" xfId="0" applyNumberFormat="1" applyFont="1" applyFill="1" applyBorder="1" applyAlignment="1">
      <alignment horizontal="center"/>
    </xf>
    <xf numFmtId="49" fontId="2" fillId="34" borderId="23" xfId="0" applyNumberFormat="1" applyFont="1" applyFill="1" applyBorder="1" applyAlignment="1">
      <alignment horizontal="center"/>
    </xf>
    <xf numFmtId="49" fontId="0" fillId="0" borderId="23" xfId="0" applyNumberFormat="1" applyBorder="1" applyAlignment="1">
      <alignment/>
    </xf>
    <xf numFmtId="172" fontId="2" fillId="0" borderId="23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16" borderId="17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49" fontId="2" fillId="16" borderId="23" xfId="0" applyNumberFormat="1" applyFont="1" applyFill="1" applyBorder="1" applyAlignment="1">
      <alignment horizontal="center"/>
    </xf>
    <xf numFmtId="49" fontId="2" fillId="16" borderId="19" xfId="0" applyNumberFormat="1" applyFont="1" applyFill="1" applyBorder="1" applyAlignment="1">
      <alignment horizontal="center"/>
    </xf>
    <xf numFmtId="49" fontId="2" fillId="16" borderId="21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22" xfId="0" applyNumberFormat="1" applyBorder="1" applyAlignment="1">
      <alignment horizontal="left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"/>
    </xf>
    <xf numFmtId="49" fontId="2" fillId="34" borderId="17" xfId="0" applyNumberFormat="1" applyFont="1" applyFill="1" applyBorder="1" applyAlignment="1">
      <alignment horizontal="center"/>
    </xf>
    <xf numFmtId="49" fontId="2" fillId="34" borderId="19" xfId="0" applyNumberFormat="1" applyFont="1" applyFill="1" applyBorder="1" applyAlignment="1">
      <alignment horizontal="center"/>
    </xf>
    <xf numFmtId="49" fontId="2" fillId="34" borderId="23" xfId="0" applyNumberFormat="1" applyFont="1" applyFill="1" applyBorder="1" applyAlignment="1">
      <alignment horizontal="center"/>
    </xf>
    <xf numFmtId="49" fontId="2" fillId="34" borderId="21" xfId="0" applyNumberFormat="1" applyFont="1" applyFill="1" applyBorder="1" applyAlignment="1">
      <alignment horizontal="center"/>
    </xf>
    <xf numFmtId="49" fontId="2" fillId="16" borderId="21" xfId="0" applyNumberFormat="1" applyFont="1" applyFill="1" applyBorder="1" applyAlignment="1">
      <alignment horizontal="center"/>
    </xf>
    <xf numFmtId="49" fontId="2" fillId="16" borderId="17" xfId="0" applyNumberFormat="1" applyFont="1" applyFill="1" applyBorder="1" applyAlignment="1">
      <alignment horizontal="center"/>
    </xf>
    <xf numFmtId="49" fontId="2" fillId="16" borderId="19" xfId="0" applyNumberFormat="1" applyFont="1" applyFill="1" applyBorder="1" applyAlignment="1">
      <alignment horizontal="center"/>
    </xf>
    <xf numFmtId="49" fontId="2" fillId="16" borderId="23" xfId="0" applyNumberFormat="1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 horizontal="center"/>
    </xf>
    <xf numFmtId="49" fontId="2" fillId="16" borderId="0" xfId="0" applyNumberFormat="1" applyFont="1" applyFill="1" applyBorder="1" applyAlignment="1">
      <alignment horizontal="center"/>
    </xf>
    <xf numFmtId="49" fontId="2" fillId="34" borderId="16" xfId="0" applyNumberFormat="1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9" fontId="2" fillId="34" borderId="16" xfId="0" applyNumberFormat="1" applyFont="1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/>
    </xf>
    <xf numFmtId="49" fontId="2" fillId="34" borderId="20" xfId="0" applyNumberFormat="1" applyFont="1" applyFill="1" applyBorder="1" applyAlignment="1">
      <alignment horizontal="center"/>
    </xf>
    <xf numFmtId="49" fontId="2" fillId="34" borderId="22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2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9" fontId="0" fillId="0" borderId="13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2" fillId="16" borderId="27" xfId="0" applyNumberFormat="1" applyFont="1" applyFill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8" xfId="0" applyNumberFormat="1" applyFill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0" fillId="0" borderId="23" xfId="0" applyNumberFormat="1" applyBorder="1" applyAlignment="1">
      <alignment horizontal="center"/>
    </xf>
    <xf numFmtId="49" fontId="13" fillId="0" borderId="0" xfId="0" applyNumberFormat="1" applyFont="1" applyAlignment="1">
      <alignment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0" fillId="35" borderId="23" xfId="0" applyNumberFormat="1" applyFill="1" applyBorder="1" applyAlignment="1">
      <alignment horizontal="left"/>
    </xf>
    <xf numFmtId="49" fontId="0" fillId="35" borderId="23" xfId="0" applyNumberFormat="1" applyFill="1" applyBorder="1" applyAlignment="1">
      <alignment horizontal="center"/>
    </xf>
    <xf numFmtId="49" fontId="0" fillId="0" borderId="23" xfId="0" applyNumberFormat="1" applyBorder="1" applyAlignment="1" applyProtection="1">
      <alignment horizontal="center"/>
      <protection locked="0"/>
    </xf>
    <xf numFmtId="49" fontId="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35" borderId="11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center"/>
    </xf>
    <xf numFmtId="49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Font="1" applyBorder="1" applyAlignment="1">
      <alignment horizontal="center"/>
    </xf>
    <xf numFmtId="49" fontId="0" fillId="35" borderId="15" xfId="0" applyNumberFormat="1" applyFill="1" applyBorder="1" applyAlignment="1">
      <alignment horizontal="left"/>
    </xf>
    <xf numFmtId="49" fontId="0" fillId="35" borderId="16" xfId="0" applyNumberFormat="1" applyFill="1" applyBorder="1" applyAlignment="1">
      <alignment horizontal="left"/>
    </xf>
    <xf numFmtId="49" fontId="0" fillId="35" borderId="16" xfId="0" applyNumberFormat="1" applyFill="1" applyBorder="1" applyAlignment="1">
      <alignment horizontal="center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35" borderId="18" xfId="0" applyNumberFormat="1" applyFill="1" applyBorder="1" applyAlignment="1">
      <alignment horizontal="left"/>
    </xf>
    <xf numFmtId="49" fontId="0" fillId="35" borderId="20" xfId="0" applyNumberFormat="1" applyFill="1" applyBorder="1" applyAlignment="1">
      <alignment horizontal="left"/>
    </xf>
    <xf numFmtId="49" fontId="0" fillId="35" borderId="22" xfId="0" applyNumberFormat="1" applyFill="1" applyBorder="1" applyAlignment="1">
      <alignment horizontal="left"/>
    </xf>
    <xf numFmtId="49" fontId="0" fillId="35" borderId="22" xfId="0" applyNumberFormat="1" applyFill="1" applyBorder="1" applyAlignment="1">
      <alignment horizontal="center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35" borderId="12" xfId="0" applyNumberFormat="1" applyFill="1" applyBorder="1" applyAlignment="1">
      <alignment horizontal="left"/>
    </xf>
    <xf numFmtId="49" fontId="0" fillId="35" borderId="13" xfId="0" applyNumberFormat="1" applyFill="1" applyBorder="1" applyAlignment="1">
      <alignment horizontal="left"/>
    </xf>
    <xf numFmtId="49" fontId="0" fillId="35" borderId="14" xfId="0" applyNumberFormat="1" applyFill="1" applyBorder="1" applyAlignment="1">
      <alignment horizontal="left"/>
    </xf>
    <xf numFmtId="49" fontId="0" fillId="0" borderId="16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49" fontId="0" fillId="33" borderId="27" xfId="0" applyNumberFormat="1" applyFill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0" fillId="33" borderId="23" xfId="0" applyNumberFormat="1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33" borderId="16" xfId="0" applyNumberFormat="1" applyFill="1" applyBorder="1" applyAlignment="1">
      <alignment horizontal="center"/>
    </xf>
    <xf numFmtId="49" fontId="0" fillId="33" borderId="22" xfId="0" applyNumberFormat="1" applyFill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13" xfId="0" applyNumberFormat="1" applyFill="1" applyBorder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62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0" fillId="35" borderId="0" xfId="0" applyNumberFormat="1" applyFill="1" applyAlignment="1">
      <alignment horizontal="center"/>
    </xf>
    <xf numFmtId="49" fontId="3" fillId="0" borderId="25" xfId="0" applyNumberFormat="1" applyFont="1" applyBorder="1" applyAlignment="1">
      <alignment horizontal="center" vertical="center"/>
    </xf>
    <xf numFmtId="49" fontId="0" fillId="35" borderId="0" xfId="0" applyNumberFormat="1" applyFill="1" applyAlignment="1">
      <alignment horizontal="left"/>
    </xf>
    <xf numFmtId="49" fontId="2" fillId="35" borderId="23" xfId="0" applyNumberFormat="1" applyFont="1" applyFill="1" applyBorder="1" applyAlignment="1">
      <alignment horizontal="center"/>
    </xf>
    <xf numFmtId="49" fontId="0" fillId="35" borderId="14" xfId="0" applyNumberFormat="1" applyFill="1" applyBorder="1" applyAlignment="1">
      <alignment horizontal="center"/>
    </xf>
    <xf numFmtId="49" fontId="6" fillId="35" borderId="0" xfId="0" applyNumberFormat="1" applyFont="1" applyFill="1" applyAlignment="1">
      <alignment horizontal="center"/>
    </xf>
    <xf numFmtId="49" fontId="62" fillId="35" borderId="23" xfId="0" applyNumberFormat="1" applyFont="1" applyFill="1" applyBorder="1" applyAlignment="1">
      <alignment horizontal="center"/>
    </xf>
    <xf numFmtId="49" fontId="2" fillId="35" borderId="0" xfId="0" applyNumberFormat="1" applyFont="1" applyFill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2" fillId="35" borderId="0" xfId="0" applyNumberFormat="1" applyFont="1" applyFill="1" applyBorder="1" applyAlignment="1">
      <alignment horizontal="center"/>
    </xf>
    <xf numFmtId="49" fontId="2" fillId="35" borderId="16" xfId="0" applyNumberFormat="1" applyFont="1" applyFill="1" applyBorder="1" applyAlignment="1">
      <alignment horizontal="center"/>
    </xf>
    <xf numFmtId="49" fontId="2" fillId="35" borderId="22" xfId="0" applyNumberFormat="1" applyFont="1" applyFill="1" applyBorder="1" applyAlignment="1">
      <alignment horizontal="center"/>
    </xf>
    <xf numFmtId="49" fontId="7" fillId="35" borderId="12" xfId="0" applyNumberFormat="1" applyFont="1" applyFill="1" applyBorder="1" applyAlignment="1">
      <alignment horizontal="center"/>
    </xf>
    <xf numFmtId="49" fontId="2" fillId="35" borderId="12" xfId="0" applyNumberFormat="1" applyFont="1" applyFill="1" applyBorder="1" applyAlignment="1">
      <alignment horizontal="center"/>
    </xf>
    <xf numFmtId="49" fontId="2" fillId="35" borderId="14" xfId="0" applyNumberFormat="1" applyFont="1" applyFill="1" applyBorder="1" applyAlignment="1">
      <alignment horizontal="center"/>
    </xf>
    <xf numFmtId="49" fontId="0" fillId="35" borderId="12" xfId="0" applyNumberFormat="1" applyFill="1" applyBorder="1" applyAlignment="1">
      <alignment horizontal="center"/>
    </xf>
    <xf numFmtId="49" fontId="62" fillId="35" borderId="0" xfId="0" applyNumberFormat="1" applyFont="1" applyFill="1" applyBorder="1" applyAlignment="1">
      <alignment horizontal="center"/>
    </xf>
    <xf numFmtId="49" fontId="62" fillId="35" borderId="16" xfId="0" applyNumberFormat="1" applyFont="1" applyFill="1" applyBorder="1" applyAlignment="1">
      <alignment horizontal="center"/>
    </xf>
    <xf numFmtId="49" fontId="62" fillId="35" borderId="22" xfId="0" applyNumberFormat="1" applyFont="1" applyFill="1" applyBorder="1" applyAlignment="1">
      <alignment horizontal="center"/>
    </xf>
    <xf numFmtId="49" fontId="62" fillId="35" borderId="14" xfId="0" applyNumberFormat="1" applyFont="1" applyFill="1" applyBorder="1" applyAlignment="1">
      <alignment horizontal="center"/>
    </xf>
    <xf numFmtId="49" fontId="62" fillId="35" borderId="13" xfId="0" applyNumberFormat="1" applyFont="1" applyFill="1" applyBorder="1" applyAlignment="1">
      <alignment horizontal="center"/>
    </xf>
    <xf numFmtId="49" fontId="2" fillId="35" borderId="13" xfId="0" applyNumberFormat="1" applyFont="1" applyFill="1" applyBorder="1" applyAlignment="1">
      <alignment horizontal="center"/>
    </xf>
    <xf numFmtId="49" fontId="0" fillId="35" borderId="13" xfId="0" applyNumberFormat="1" applyFill="1" applyBorder="1" applyAlignment="1">
      <alignment horizontal="center"/>
    </xf>
    <xf numFmtId="49" fontId="7" fillId="35" borderId="13" xfId="0" applyNumberFormat="1" applyFont="1" applyFill="1" applyBorder="1" applyAlignment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11" fillId="0" borderId="0" xfId="0" applyNumberFormat="1" applyFont="1" applyAlignment="1">
      <alignment/>
    </xf>
    <xf numFmtId="49" fontId="62" fillId="0" borderId="23" xfId="0" applyNumberFormat="1" applyFont="1" applyBorder="1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62" fillId="0" borderId="16" xfId="0" applyNumberFormat="1" applyFont="1" applyBorder="1" applyAlignment="1">
      <alignment horizontal="center"/>
    </xf>
    <xf numFmtId="49" fontId="62" fillId="0" borderId="22" xfId="0" applyNumberFormat="1" applyFont="1" applyBorder="1" applyAlignment="1">
      <alignment horizontal="center"/>
    </xf>
    <xf numFmtId="49" fontId="62" fillId="0" borderId="12" xfId="0" applyNumberFormat="1" applyFont="1" applyBorder="1" applyAlignment="1">
      <alignment horizontal="center"/>
    </xf>
    <xf numFmtId="49" fontId="62" fillId="0" borderId="14" xfId="0" applyNumberFormat="1" applyFont="1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62" fillId="0" borderId="13" xfId="0" applyNumberFormat="1" applyFont="1" applyBorder="1" applyAlignment="1">
      <alignment horizontal="center"/>
    </xf>
    <xf numFmtId="49" fontId="2" fillId="35" borderId="0" xfId="0" applyNumberFormat="1" applyFont="1" applyFill="1" applyAlignment="1">
      <alignment/>
    </xf>
    <xf numFmtId="49" fontId="0" fillId="35" borderId="0" xfId="0" applyNumberFormat="1" applyFill="1" applyAlignment="1">
      <alignment/>
    </xf>
    <xf numFmtId="49" fontId="0" fillId="35" borderId="11" xfId="0" applyNumberFormat="1" applyFill="1" applyBorder="1" applyAlignment="1">
      <alignment/>
    </xf>
    <xf numFmtId="49" fontId="0" fillId="35" borderId="15" xfId="0" applyNumberFormat="1" applyFill="1" applyBorder="1" applyAlignment="1">
      <alignment/>
    </xf>
    <xf numFmtId="49" fontId="0" fillId="35" borderId="20" xfId="0" applyNumberFormat="1" applyFill="1" applyBorder="1" applyAlignment="1">
      <alignment/>
    </xf>
    <xf numFmtId="49" fontId="0" fillId="35" borderId="18" xfId="0" applyNumberFormat="1" applyFill="1" applyBorder="1" applyAlignment="1">
      <alignment/>
    </xf>
    <xf numFmtId="49" fontId="10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172" fontId="0" fillId="33" borderId="16" xfId="0" applyNumberFormat="1" applyFill="1" applyBorder="1" applyAlignment="1">
      <alignment horizontal="center"/>
    </xf>
    <xf numFmtId="172" fontId="0" fillId="33" borderId="22" xfId="0" applyNumberFormat="1" applyFill="1" applyBorder="1" applyAlignment="1">
      <alignment horizontal="center"/>
    </xf>
    <xf numFmtId="172" fontId="0" fillId="33" borderId="12" xfId="0" applyNumberFormat="1" applyFill="1" applyBorder="1" applyAlignment="1">
      <alignment horizontal="center"/>
    </xf>
    <xf numFmtId="172" fontId="0" fillId="33" borderId="14" xfId="0" applyNumberFormat="1" applyFill="1" applyBorder="1" applyAlignment="1">
      <alignment horizontal="center"/>
    </xf>
    <xf numFmtId="172" fontId="0" fillId="33" borderId="23" xfId="0" applyNumberFormat="1" applyFill="1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0" fontId="0" fillId="33" borderId="23" xfId="0" applyFill="1" applyBorder="1" applyAlignment="1">
      <alignment horizontal="center"/>
    </xf>
    <xf numFmtId="49" fontId="0" fillId="33" borderId="23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72" fontId="0" fillId="33" borderId="0" xfId="0" applyNumberFormat="1" applyFill="1" applyBorder="1" applyAlignment="1">
      <alignment horizontal="center"/>
    </xf>
    <xf numFmtId="172" fontId="0" fillId="33" borderId="16" xfId="0" applyNumberFormat="1" applyFill="1" applyBorder="1" applyAlignment="1">
      <alignment horizontal="center"/>
    </xf>
    <xf numFmtId="172" fontId="0" fillId="33" borderId="22" xfId="0" applyNumberFormat="1" applyFill="1" applyBorder="1" applyAlignment="1">
      <alignment horizontal="center"/>
    </xf>
    <xf numFmtId="174" fontId="0" fillId="0" borderId="22" xfId="0" applyNumberFormat="1" applyBorder="1" applyAlignment="1">
      <alignment horizontal="center"/>
    </xf>
    <xf numFmtId="172" fontId="0" fillId="33" borderId="12" xfId="0" applyNumberFormat="1" applyFill="1" applyBorder="1" applyAlignment="1">
      <alignment horizontal="center"/>
    </xf>
    <xf numFmtId="172" fontId="0" fillId="33" borderId="14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49" fontId="62" fillId="0" borderId="0" xfId="0" applyNumberFormat="1" applyFont="1" applyBorder="1" applyAlignment="1">
      <alignment horizontal="center"/>
    </xf>
    <xf numFmtId="49" fontId="0" fillId="33" borderId="16" xfId="0" applyNumberFormat="1" applyFill="1" applyBorder="1" applyAlignment="1">
      <alignment horizontal="center"/>
    </xf>
    <xf numFmtId="49" fontId="0" fillId="33" borderId="22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13" xfId="0" applyNumberFormat="1" applyFill="1" applyBorder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172" fontId="0" fillId="33" borderId="13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62" fillId="0" borderId="0" xfId="0" applyNumberFormat="1" applyFont="1" applyFill="1" applyBorder="1" applyAlignment="1">
      <alignment horizontal="center"/>
    </xf>
    <xf numFmtId="49" fontId="62" fillId="0" borderId="13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63" fillId="0" borderId="1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Alignment="1">
      <alignment/>
    </xf>
    <xf numFmtId="49" fontId="63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0" fillId="0" borderId="23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35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/>
    </xf>
    <xf numFmtId="172" fontId="0" fillId="0" borderId="0" xfId="0" applyNumberFormat="1" applyAlignment="1">
      <alignment wrapText="1"/>
    </xf>
    <xf numFmtId="0" fontId="2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wrapText="1"/>
    </xf>
    <xf numFmtId="172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172" fontId="0" fillId="0" borderId="0" xfId="0" applyNumberFormat="1" applyFont="1" applyAlignment="1">
      <alignment wrapText="1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49" fontId="0" fillId="0" borderId="19" xfId="0" applyNumberFormat="1" applyFill="1" applyBorder="1" applyAlignment="1">
      <alignment horizontal="left"/>
    </xf>
    <xf numFmtId="49" fontId="0" fillId="0" borderId="21" xfId="0" applyNumberFormat="1" applyFill="1" applyBorder="1" applyAlignment="1">
      <alignment horizontal="left"/>
    </xf>
    <xf numFmtId="49" fontId="62" fillId="0" borderId="16" xfId="0" applyNumberFormat="1" applyFont="1" applyFill="1" applyBorder="1" applyAlignment="1">
      <alignment horizontal="center"/>
    </xf>
    <xf numFmtId="49" fontId="0" fillId="16" borderId="16" xfId="0" applyNumberFormat="1" applyFill="1" applyBorder="1" applyAlignment="1">
      <alignment horizontal="center"/>
    </xf>
    <xf numFmtId="49" fontId="0" fillId="16" borderId="0" xfId="0" applyNumberFormat="1" applyFill="1" applyBorder="1" applyAlignment="1">
      <alignment horizontal="center"/>
    </xf>
    <xf numFmtId="49" fontId="0" fillId="16" borderId="12" xfId="0" applyNumberFormat="1" applyFill="1" applyBorder="1" applyAlignment="1">
      <alignment horizontal="center"/>
    </xf>
    <xf numFmtId="49" fontId="0" fillId="16" borderId="14" xfId="0" applyNumberFormat="1" applyFill="1" applyBorder="1" applyAlignment="1">
      <alignment horizontal="center"/>
    </xf>
    <xf numFmtId="172" fontId="0" fillId="0" borderId="0" xfId="0" applyNumberFormat="1" applyBorder="1" applyAlignment="1">
      <alignment wrapText="1"/>
    </xf>
    <xf numFmtId="1" fontId="2" fillId="0" borderId="0" xfId="0" applyNumberFormat="1" applyFont="1" applyBorder="1" applyAlignment="1">
      <alignment horizontal="center" wrapText="1"/>
    </xf>
    <xf numFmtId="1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0" fillId="35" borderId="11" xfId="0" applyNumberFormat="1" applyFill="1" applyBorder="1" applyAlignment="1">
      <alignment horizontal="center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7" fillId="0" borderId="12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64" fillId="0" borderId="0" xfId="0" applyFont="1" applyAlignment="1">
      <alignment/>
    </xf>
    <xf numFmtId="49" fontId="0" fillId="35" borderId="15" xfId="0" applyNumberFormat="1" applyFill="1" applyBorder="1" applyAlignment="1">
      <alignment horizontal="center"/>
    </xf>
    <xf numFmtId="49" fontId="0" fillId="35" borderId="18" xfId="0" applyNumberFormat="1" applyFill="1" applyBorder="1" applyAlignment="1">
      <alignment horizontal="center"/>
    </xf>
    <xf numFmtId="49" fontId="0" fillId="35" borderId="20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left"/>
    </xf>
    <xf numFmtId="49" fontId="0" fillId="0" borderId="22" xfId="0" applyNumberFormat="1" applyFill="1" applyBorder="1" applyAlignment="1">
      <alignment horizontal="left"/>
    </xf>
    <xf numFmtId="49" fontId="62" fillId="0" borderId="22" xfId="0" applyNumberFormat="1" applyFont="1" applyFill="1" applyBorder="1" applyAlignment="1">
      <alignment horizontal="center"/>
    </xf>
    <xf numFmtId="49" fontId="0" fillId="16" borderId="22" xfId="0" applyNumberForma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0" fillId="0" borderId="22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59" fillId="0" borderId="0" xfId="0" applyNumberFormat="1" applyFont="1" applyAlignment="1">
      <alignment horizontal="center"/>
    </xf>
    <xf numFmtId="49" fontId="0" fillId="0" borderId="12" xfId="0" applyNumberFormat="1" applyFont="1" applyFill="1" applyBorder="1" applyAlignment="1">
      <alignment/>
    </xf>
    <xf numFmtId="0" fontId="61" fillId="0" borderId="0" xfId="0" applyFont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2" fontId="3" fillId="0" borderId="33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172" fontId="3" fillId="0" borderId="28" xfId="0" applyNumberFormat="1" applyFont="1" applyBorder="1" applyAlignment="1">
      <alignment horizontal="center" vertical="center"/>
    </xf>
    <xf numFmtId="172" fontId="3" fillId="0" borderId="2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/>
    </xf>
    <xf numFmtId="49" fontId="5" fillId="35" borderId="22" xfId="0" applyNumberFormat="1" applyFont="1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48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33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C27" sqref="C27"/>
    </sheetView>
  </sheetViews>
  <sheetFormatPr defaultColWidth="11.375" defaultRowHeight="12.75"/>
  <cols>
    <col min="1" max="1" width="7.00390625" style="430" customWidth="1"/>
    <col min="2" max="2" width="21.75390625" style="0" customWidth="1"/>
    <col min="3" max="3" width="25.00390625" style="0" customWidth="1"/>
    <col min="4" max="4" width="15.625" style="0" customWidth="1"/>
    <col min="5" max="5" width="11.375" style="0" customWidth="1"/>
    <col min="6" max="6" width="26.00390625" style="0" customWidth="1"/>
    <col min="7" max="7" width="11.375" style="0" customWidth="1"/>
    <col min="8" max="8" width="26.125" style="0" customWidth="1"/>
  </cols>
  <sheetData>
    <row r="1" spans="1:8" ht="57.75" customHeight="1">
      <c r="A1" s="82"/>
      <c r="B1" s="509" t="s">
        <v>3167</v>
      </c>
      <c r="C1" s="509"/>
      <c r="D1" s="509"/>
      <c r="E1" s="509"/>
      <c r="F1" s="509"/>
      <c r="G1" s="509"/>
      <c r="H1" s="509"/>
    </row>
    <row r="2" spans="1:8" ht="34.5" customHeight="1" thickBot="1">
      <c r="A2" s="82"/>
      <c r="B2" s="509" t="s">
        <v>2322</v>
      </c>
      <c r="C2" s="509"/>
      <c r="D2" s="509"/>
      <c r="E2" s="509"/>
      <c r="F2" s="509"/>
      <c r="G2" s="509"/>
      <c r="H2" s="509"/>
    </row>
    <row r="3" spans="1:8" ht="21.75" customHeight="1">
      <c r="A3" s="500" t="s">
        <v>1627</v>
      </c>
      <c r="B3" s="502" t="s">
        <v>0</v>
      </c>
      <c r="C3" s="504" t="s">
        <v>2271</v>
      </c>
      <c r="D3" s="504" t="s">
        <v>1629</v>
      </c>
      <c r="E3" s="502" t="s">
        <v>7</v>
      </c>
      <c r="F3" s="502" t="s">
        <v>2273</v>
      </c>
      <c r="G3" s="502" t="s">
        <v>1672</v>
      </c>
      <c r="H3" s="506" t="s">
        <v>5</v>
      </c>
    </row>
    <row r="4" spans="1:8" ht="18.75" customHeight="1" thickBot="1">
      <c r="A4" s="501"/>
      <c r="B4" s="503"/>
      <c r="C4" s="505"/>
      <c r="D4" s="505"/>
      <c r="E4" s="503"/>
      <c r="F4" s="503"/>
      <c r="G4" s="503"/>
      <c r="H4" s="507"/>
    </row>
    <row r="5" spans="2:8" ht="15.75">
      <c r="B5" s="508" t="s">
        <v>164</v>
      </c>
      <c r="C5" s="508"/>
      <c r="D5" s="508"/>
      <c r="E5" s="508"/>
      <c r="F5" s="508"/>
      <c r="G5" s="508"/>
      <c r="H5" s="15"/>
    </row>
    <row r="6" spans="1:8" ht="12.75">
      <c r="A6" s="29">
        <v>1</v>
      </c>
      <c r="B6" s="20" t="s">
        <v>3148</v>
      </c>
      <c r="C6" s="210" t="s">
        <v>3149</v>
      </c>
      <c r="D6" s="210" t="s">
        <v>2022</v>
      </c>
      <c r="E6" s="210" t="s">
        <v>31</v>
      </c>
      <c r="F6" s="210" t="s">
        <v>302</v>
      </c>
      <c r="G6" s="200" t="s">
        <v>3168</v>
      </c>
      <c r="H6" s="210" t="s">
        <v>3150</v>
      </c>
    </row>
    <row r="7" spans="1:8" ht="12.75">
      <c r="A7" s="29"/>
      <c r="B7" s="15"/>
      <c r="C7" s="15"/>
      <c r="D7" s="15"/>
      <c r="E7" s="15"/>
      <c r="F7" s="15"/>
      <c r="G7" s="15"/>
      <c r="H7" s="15"/>
    </row>
    <row r="8" spans="1:8" ht="15.75">
      <c r="A8" s="29"/>
      <c r="B8" s="508" t="s">
        <v>304</v>
      </c>
      <c r="C8" s="508"/>
      <c r="D8" s="508"/>
      <c r="E8" s="508"/>
      <c r="F8" s="508"/>
      <c r="G8" s="508"/>
      <c r="H8" s="15"/>
    </row>
    <row r="9" spans="1:8" ht="12.75">
      <c r="A9" s="29">
        <v>1</v>
      </c>
      <c r="B9" s="20" t="s">
        <v>3102</v>
      </c>
      <c r="C9" s="210" t="s">
        <v>3103</v>
      </c>
      <c r="D9" s="210" t="s">
        <v>3104</v>
      </c>
      <c r="E9" s="210" t="s">
        <v>31</v>
      </c>
      <c r="F9" s="210" t="s">
        <v>1642</v>
      </c>
      <c r="G9" s="200" t="s">
        <v>3169</v>
      </c>
      <c r="H9" s="210" t="s">
        <v>51</v>
      </c>
    </row>
    <row r="10" spans="1:8" ht="12.75">
      <c r="A10" s="29"/>
      <c r="B10" s="15"/>
      <c r="C10" s="15"/>
      <c r="D10" s="15"/>
      <c r="E10" s="15"/>
      <c r="F10" s="15"/>
      <c r="G10" s="15"/>
      <c r="H10" s="15"/>
    </row>
    <row r="11" spans="1:8" ht="15.75">
      <c r="A11" s="29"/>
      <c r="B11" s="508" t="s">
        <v>499</v>
      </c>
      <c r="C11" s="508"/>
      <c r="D11" s="508"/>
      <c r="E11" s="508"/>
      <c r="F11" s="508"/>
      <c r="G11" s="508"/>
      <c r="H11" s="15"/>
    </row>
    <row r="12" spans="1:8" ht="12.75">
      <c r="A12" s="29">
        <v>1</v>
      </c>
      <c r="B12" s="20" t="s">
        <v>3130</v>
      </c>
      <c r="C12" s="210" t="s">
        <v>3137</v>
      </c>
      <c r="D12" s="210" t="s">
        <v>2024</v>
      </c>
      <c r="E12" s="210" t="s">
        <v>31</v>
      </c>
      <c r="F12" s="210" t="s">
        <v>2980</v>
      </c>
      <c r="G12" s="200" t="s">
        <v>3170</v>
      </c>
      <c r="H12" s="210" t="s">
        <v>51</v>
      </c>
    </row>
    <row r="13" spans="2:8" ht="12.75">
      <c r="B13" s="15"/>
      <c r="C13" s="15"/>
      <c r="D13" s="15"/>
      <c r="E13" s="15"/>
      <c r="F13" s="15"/>
      <c r="G13" s="15"/>
      <c r="H13" s="15"/>
    </row>
    <row r="14" spans="2:8" ht="12.75">
      <c r="B14" s="15"/>
      <c r="C14" s="15"/>
      <c r="D14" s="15"/>
      <c r="E14" s="15"/>
      <c r="F14" s="15"/>
      <c r="G14" s="15"/>
      <c r="H14" s="15"/>
    </row>
    <row r="15" spans="2:8" ht="12.75">
      <c r="B15" s="15"/>
      <c r="C15" s="15"/>
      <c r="D15" s="15"/>
      <c r="E15" s="15"/>
      <c r="F15" s="15"/>
      <c r="G15" s="15"/>
      <c r="H15" s="15"/>
    </row>
    <row r="16" spans="2:8" ht="12.75">
      <c r="B16" s="15"/>
      <c r="C16" s="15"/>
      <c r="D16" s="15"/>
      <c r="E16" s="15"/>
      <c r="F16" s="15"/>
      <c r="G16" s="15"/>
      <c r="H16" s="15"/>
    </row>
    <row r="17" spans="2:8" ht="12.75">
      <c r="B17" s="15"/>
      <c r="C17" s="15"/>
      <c r="D17" s="15"/>
      <c r="E17" s="15"/>
      <c r="F17" s="15"/>
      <c r="G17" s="15"/>
      <c r="H17" s="15"/>
    </row>
    <row r="18" spans="2:8" ht="12.75">
      <c r="B18" s="15"/>
      <c r="C18" s="15"/>
      <c r="D18" s="15"/>
      <c r="E18" s="15"/>
      <c r="F18" s="15"/>
      <c r="G18" s="15"/>
      <c r="H18" s="15"/>
    </row>
  </sheetData>
  <sheetProtection/>
  <mergeCells count="13">
    <mergeCell ref="G3:G4"/>
    <mergeCell ref="H3:H4"/>
    <mergeCell ref="B5:G5"/>
    <mergeCell ref="B8:G8"/>
    <mergeCell ref="B11:G11"/>
    <mergeCell ref="B1:H1"/>
    <mergeCell ref="B2:H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8"/>
  <sheetViews>
    <sheetView workbookViewId="0" topLeftCell="A1">
      <selection activeCell="C21" sqref="C21:Q21"/>
    </sheetView>
  </sheetViews>
  <sheetFormatPr defaultColWidth="11.375" defaultRowHeight="12.75"/>
  <cols>
    <col min="1" max="1" width="6.625" style="0" customWidth="1"/>
    <col min="2" max="2" width="11.625" style="409" customWidth="1"/>
    <col min="3" max="3" width="25.75390625" style="0" customWidth="1"/>
    <col min="4" max="4" width="23.25390625" style="0" customWidth="1"/>
    <col min="5" max="5" width="20.00390625" style="0" customWidth="1"/>
    <col min="6" max="6" width="11.375" style="0" customWidth="1"/>
    <col min="7" max="7" width="31.25390625" style="0" customWidth="1"/>
    <col min="8" max="10" width="7.25390625" style="0" customWidth="1"/>
    <col min="11" max="11" width="11.25390625" style="0" customWidth="1"/>
    <col min="12" max="12" width="8.25390625" style="0" customWidth="1"/>
    <col min="13" max="14" width="12.25390625" style="0" customWidth="1"/>
    <col min="15" max="15" width="8.125" style="0" customWidth="1"/>
    <col min="16" max="16" width="8.375" style="0" customWidth="1"/>
    <col min="17" max="17" width="9.875" style="0" customWidth="1"/>
    <col min="18" max="18" width="16.125" style="0" customWidth="1"/>
  </cols>
  <sheetData>
    <row r="1" spans="1:18" ht="57.75" customHeight="1">
      <c r="A1" s="82"/>
      <c r="B1" s="399"/>
      <c r="C1" s="509" t="s">
        <v>3709</v>
      </c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</row>
    <row r="2" spans="1:18" ht="40.5" customHeight="1" thickBot="1">
      <c r="A2" s="82"/>
      <c r="B2" s="399"/>
      <c r="C2" s="509" t="s">
        <v>3283</v>
      </c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</row>
    <row r="3" spans="1:18" ht="13.5" customHeight="1">
      <c r="A3" s="512" t="s">
        <v>1627</v>
      </c>
      <c r="B3" s="516" t="s">
        <v>4516</v>
      </c>
      <c r="C3" s="514" t="s">
        <v>0</v>
      </c>
      <c r="D3" s="454" t="s">
        <v>3284</v>
      </c>
      <c r="E3" s="514" t="s">
        <v>3286</v>
      </c>
      <c r="F3" s="514" t="s">
        <v>7</v>
      </c>
      <c r="G3" s="514" t="s">
        <v>3287</v>
      </c>
      <c r="H3" s="514" t="s">
        <v>3388</v>
      </c>
      <c r="I3" s="514"/>
      <c r="J3" s="514"/>
      <c r="K3" s="514" t="s">
        <v>1672</v>
      </c>
      <c r="L3" s="514" t="s">
        <v>3389</v>
      </c>
      <c r="M3" s="514" t="s">
        <v>3288</v>
      </c>
      <c r="N3" s="514"/>
      <c r="O3" s="514" t="s">
        <v>3389</v>
      </c>
      <c r="P3" s="516" t="s">
        <v>3390</v>
      </c>
      <c r="Q3" s="514" t="s">
        <v>6</v>
      </c>
      <c r="R3" s="510" t="s">
        <v>5</v>
      </c>
    </row>
    <row r="4" spans="1:18" ht="25.5" customHeight="1" thickBot="1">
      <c r="A4" s="513"/>
      <c r="B4" s="517"/>
      <c r="C4" s="515"/>
      <c r="D4" s="455" t="s">
        <v>3285</v>
      </c>
      <c r="E4" s="515"/>
      <c r="F4" s="515"/>
      <c r="G4" s="515"/>
      <c r="H4" s="456" t="s">
        <v>2208</v>
      </c>
      <c r="I4" s="456" t="s">
        <v>2209</v>
      </c>
      <c r="J4" s="456" t="s">
        <v>2210</v>
      </c>
      <c r="K4" s="515"/>
      <c r="L4" s="515"/>
      <c r="M4" s="456" t="s">
        <v>2604</v>
      </c>
      <c r="N4" s="456" t="s">
        <v>3289</v>
      </c>
      <c r="O4" s="515"/>
      <c r="P4" s="517"/>
      <c r="Q4" s="515"/>
      <c r="R4" s="511"/>
    </row>
    <row r="5" spans="1:18" ht="12.75">
      <c r="A5" s="50"/>
      <c r="B5" s="402"/>
      <c r="C5" s="15"/>
      <c r="D5" s="15"/>
      <c r="E5" s="15"/>
      <c r="F5" s="15"/>
      <c r="G5" s="15"/>
      <c r="H5" s="49"/>
      <c r="I5" s="49"/>
      <c r="J5" s="49"/>
      <c r="K5" s="50"/>
      <c r="L5" s="50"/>
      <c r="M5" s="49"/>
      <c r="N5" s="49"/>
      <c r="O5" s="50"/>
      <c r="P5" s="402"/>
      <c r="Q5" s="49"/>
      <c r="R5" s="15"/>
    </row>
    <row r="6" spans="1:18" ht="15.75">
      <c r="A6" s="97"/>
      <c r="B6" s="434"/>
      <c r="C6" s="508" t="s">
        <v>3710</v>
      </c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15"/>
    </row>
    <row r="7" spans="1:18" ht="12.75">
      <c r="A7" s="82" t="s">
        <v>2208</v>
      </c>
      <c r="B7" s="399" t="s">
        <v>3526</v>
      </c>
      <c r="C7" s="20" t="s">
        <v>3763</v>
      </c>
      <c r="D7" s="210" t="s">
        <v>1490</v>
      </c>
      <c r="E7" s="210" t="s">
        <v>3646</v>
      </c>
      <c r="F7" s="210" t="s">
        <v>3711</v>
      </c>
      <c r="G7" s="210" t="s">
        <v>143</v>
      </c>
      <c r="H7" s="375">
        <v>35</v>
      </c>
      <c r="I7" s="375">
        <v>40</v>
      </c>
      <c r="J7" s="377">
        <v>42.5</v>
      </c>
      <c r="K7" s="200" t="s">
        <v>70</v>
      </c>
      <c r="L7" s="200" t="s">
        <v>3391</v>
      </c>
      <c r="M7" s="346">
        <v>25</v>
      </c>
      <c r="N7" s="346">
        <v>27</v>
      </c>
      <c r="O7" s="200" t="s">
        <v>3391</v>
      </c>
      <c r="P7" s="403" t="s">
        <v>3392</v>
      </c>
      <c r="Q7" s="376">
        <v>3596.88</v>
      </c>
      <c r="R7" s="210" t="s">
        <v>2067</v>
      </c>
    </row>
    <row r="8" spans="1:18" ht="12.75">
      <c r="A8" s="82"/>
      <c r="B8" s="399"/>
      <c r="C8" s="15"/>
      <c r="D8" s="15"/>
      <c r="E8" s="15"/>
      <c r="F8" s="15"/>
      <c r="G8" s="15"/>
      <c r="H8" s="49"/>
      <c r="I8" s="49"/>
      <c r="J8" s="49"/>
      <c r="K8" s="50"/>
      <c r="L8" s="50"/>
      <c r="M8" s="49"/>
      <c r="N8" s="49"/>
      <c r="O8" s="50"/>
      <c r="P8" s="402"/>
      <c r="Q8" s="49"/>
      <c r="R8" s="15"/>
    </row>
    <row r="9" spans="1:18" ht="15.75">
      <c r="A9" s="97"/>
      <c r="B9" s="434"/>
      <c r="C9" s="508" t="s">
        <v>3712</v>
      </c>
      <c r="D9" s="508"/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15"/>
    </row>
    <row r="10" spans="1:18" ht="12.75">
      <c r="A10" s="97">
        <v>1</v>
      </c>
      <c r="B10" s="434">
        <v>12</v>
      </c>
      <c r="C10" s="20" t="s">
        <v>3779</v>
      </c>
      <c r="D10" s="210" t="s">
        <v>3713</v>
      </c>
      <c r="E10" s="210" t="s">
        <v>98</v>
      </c>
      <c r="F10" s="210" t="s">
        <v>125</v>
      </c>
      <c r="G10" s="210" t="s">
        <v>815</v>
      </c>
      <c r="H10" s="375">
        <v>70</v>
      </c>
      <c r="I10" s="377">
        <v>72.5</v>
      </c>
      <c r="J10" s="344" t="s">
        <v>57</v>
      </c>
      <c r="K10" s="200" t="s">
        <v>56</v>
      </c>
      <c r="L10" s="200" t="s">
        <v>3391</v>
      </c>
      <c r="M10" s="346">
        <v>35</v>
      </c>
      <c r="N10" s="346">
        <v>117</v>
      </c>
      <c r="O10" s="347">
        <v>20</v>
      </c>
      <c r="P10" s="347">
        <v>40</v>
      </c>
      <c r="Q10" s="346">
        <v>8296.9677</v>
      </c>
      <c r="R10" s="210" t="s">
        <v>51</v>
      </c>
    </row>
    <row r="11" spans="1:18" ht="12.75">
      <c r="A11" s="97"/>
      <c r="B11" s="434"/>
      <c r="C11" s="15"/>
      <c r="D11" s="15"/>
      <c r="E11" s="15"/>
      <c r="F11" s="15"/>
      <c r="G11" s="15"/>
      <c r="H11" s="229"/>
      <c r="I11" s="229"/>
      <c r="J11" s="348"/>
      <c r="K11" s="50"/>
      <c r="L11" s="50"/>
      <c r="M11" s="229"/>
      <c r="N11" s="229"/>
      <c r="O11" s="29"/>
      <c r="P11" s="29"/>
      <c r="Q11" s="229"/>
      <c r="R11" s="15"/>
    </row>
    <row r="12" spans="1:18" ht="15.75">
      <c r="A12" s="97"/>
      <c r="B12" s="434"/>
      <c r="C12" s="526" t="s">
        <v>80</v>
      </c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15"/>
    </row>
    <row r="13" spans="1:18" ht="12.75">
      <c r="A13" s="82" t="s">
        <v>2208</v>
      </c>
      <c r="B13" s="399" t="s">
        <v>3489</v>
      </c>
      <c r="C13" s="17" t="s">
        <v>3780</v>
      </c>
      <c r="D13" s="17" t="s">
        <v>3715</v>
      </c>
      <c r="E13" s="84" t="s">
        <v>3716</v>
      </c>
      <c r="F13" s="17" t="s">
        <v>125</v>
      </c>
      <c r="G13" s="84" t="s">
        <v>2666</v>
      </c>
      <c r="H13" s="384">
        <v>75</v>
      </c>
      <c r="I13" s="387">
        <v>77.5</v>
      </c>
      <c r="J13" s="351" t="s">
        <v>48</v>
      </c>
      <c r="K13" s="87" t="s">
        <v>666</v>
      </c>
      <c r="L13" s="35" t="s">
        <v>3391</v>
      </c>
      <c r="M13" s="280" t="s">
        <v>3190</v>
      </c>
      <c r="N13" s="264" t="s">
        <v>3526</v>
      </c>
      <c r="O13" s="87" t="s">
        <v>2731</v>
      </c>
      <c r="P13" s="405" t="s">
        <v>2635</v>
      </c>
      <c r="Q13" s="280" t="s">
        <v>3717</v>
      </c>
      <c r="R13" s="17" t="s">
        <v>3718</v>
      </c>
    </row>
    <row r="14" spans="1:18" ht="12.75">
      <c r="A14" s="82" t="s">
        <v>2209</v>
      </c>
      <c r="B14" s="399" t="s">
        <v>3353</v>
      </c>
      <c r="C14" s="18" t="s">
        <v>3764</v>
      </c>
      <c r="D14" s="18" t="s">
        <v>3651</v>
      </c>
      <c r="E14" s="79" t="s">
        <v>3652</v>
      </c>
      <c r="F14" s="18" t="s">
        <v>125</v>
      </c>
      <c r="G14" s="79" t="s">
        <v>570</v>
      </c>
      <c r="H14" s="404">
        <v>72.5</v>
      </c>
      <c r="I14" s="386">
        <v>77.5</v>
      </c>
      <c r="J14" s="362" t="s">
        <v>48</v>
      </c>
      <c r="K14" s="82" t="s">
        <v>666</v>
      </c>
      <c r="L14" s="38" t="s">
        <v>2731</v>
      </c>
      <c r="M14" s="104" t="s">
        <v>3190</v>
      </c>
      <c r="N14" s="258" t="s">
        <v>2610</v>
      </c>
      <c r="O14" s="82" t="s">
        <v>3391</v>
      </c>
      <c r="P14" s="406" t="s">
        <v>2635</v>
      </c>
      <c r="Q14" s="104" t="s">
        <v>3719</v>
      </c>
      <c r="R14" s="18" t="s">
        <v>3720</v>
      </c>
    </row>
    <row r="15" spans="1:18" ht="12.75">
      <c r="A15" s="82" t="s">
        <v>2208</v>
      </c>
      <c r="B15" s="399" t="s">
        <v>3489</v>
      </c>
      <c r="C15" s="19" t="s">
        <v>3764</v>
      </c>
      <c r="D15" s="19" t="s">
        <v>3722</v>
      </c>
      <c r="E15" s="98" t="s">
        <v>3652</v>
      </c>
      <c r="F15" s="19" t="s">
        <v>125</v>
      </c>
      <c r="G15" s="98" t="s">
        <v>570</v>
      </c>
      <c r="H15" s="390">
        <v>72.5</v>
      </c>
      <c r="I15" s="388">
        <v>77.5</v>
      </c>
      <c r="J15" s="352" t="s">
        <v>48</v>
      </c>
      <c r="K15" s="100" t="s">
        <v>666</v>
      </c>
      <c r="L15" s="41" t="s">
        <v>3391</v>
      </c>
      <c r="M15" s="281" t="s">
        <v>3190</v>
      </c>
      <c r="N15" s="265" t="s">
        <v>2610</v>
      </c>
      <c r="O15" s="100" t="s">
        <v>3391</v>
      </c>
      <c r="P15" s="398" t="s">
        <v>3392</v>
      </c>
      <c r="Q15" s="281" t="s">
        <v>3719</v>
      </c>
      <c r="R15" s="19" t="s">
        <v>3720</v>
      </c>
    </row>
    <row r="16" spans="1:18" ht="12.75">
      <c r="A16" s="82"/>
      <c r="B16" s="399"/>
      <c r="C16" s="15"/>
      <c r="D16" s="15"/>
      <c r="E16" s="15"/>
      <c r="F16" s="15"/>
      <c r="G16" s="15"/>
      <c r="H16" s="49"/>
      <c r="I16" s="49"/>
      <c r="J16" s="49"/>
      <c r="K16" s="50"/>
      <c r="L16" s="50"/>
      <c r="M16" s="49"/>
      <c r="N16" s="49"/>
      <c r="O16" s="50"/>
      <c r="P16" s="402"/>
      <c r="Q16" s="49"/>
      <c r="R16" s="15"/>
    </row>
    <row r="17" spans="1:18" ht="15.75">
      <c r="A17" s="97"/>
      <c r="B17" s="434"/>
      <c r="C17" s="526" t="s">
        <v>80</v>
      </c>
      <c r="D17" s="526"/>
      <c r="E17" s="526"/>
      <c r="F17" s="526"/>
      <c r="G17" s="526"/>
      <c r="H17" s="526"/>
      <c r="I17" s="526"/>
      <c r="J17" s="526"/>
      <c r="K17" s="526"/>
      <c r="L17" s="526"/>
      <c r="M17" s="526"/>
      <c r="N17" s="526"/>
      <c r="O17" s="526"/>
      <c r="P17" s="526"/>
      <c r="Q17" s="526"/>
      <c r="R17" s="15"/>
    </row>
    <row r="18" spans="1:18" ht="12.75">
      <c r="A18" s="82" t="s">
        <v>2208</v>
      </c>
      <c r="B18" s="399" t="s">
        <v>3526</v>
      </c>
      <c r="C18" s="83" t="s">
        <v>3658</v>
      </c>
      <c r="D18" s="17" t="s">
        <v>3659</v>
      </c>
      <c r="E18" s="84" t="s">
        <v>3660</v>
      </c>
      <c r="F18" s="17" t="s">
        <v>125</v>
      </c>
      <c r="G18" s="84" t="s">
        <v>815</v>
      </c>
      <c r="H18" s="389">
        <v>67.5</v>
      </c>
      <c r="I18" s="381">
        <v>70</v>
      </c>
      <c r="J18" s="389">
        <v>72.5</v>
      </c>
      <c r="K18" s="87" t="s">
        <v>56</v>
      </c>
      <c r="L18" s="35" t="s">
        <v>3391</v>
      </c>
      <c r="M18" s="354">
        <v>60</v>
      </c>
      <c r="N18" s="359">
        <v>15</v>
      </c>
      <c r="O18" s="87" t="s">
        <v>3391</v>
      </c>
      <c r="P18" s="405" t="s">
        <v>3392</v>
      </c>
      <c r="Q18" s="354">
        <v>4002.3625</v>
      </c>
      <c r="R18" s="17" t="s">
        <v>51</v>
      </c>
    </row>
    <row r="19" spans="1:18" ht="12.75">
      <c r="A19" s="82" t="s">
        <v>2208</v>
      </c>
      <c r="B19" s="399" t="s">
        <v>3526</v>
      </c>
      <c r="C19" s="94" t="s">
        <v>3781</v>
      </c>
      <c r="D19" s="19" t="s">
        <v>3723</v>
      </c>
      <c r="E19" s="98" t="s">
        <v>3724</v>
      </c>
      <c r="F19" s="19" t="s">
        <v>125</v>
      </c>
      <c r="G19" s="98" t="s">
        <v>1643</v>
      </c>
      <c r="H19" s="385">
        <v>100</v>
      </c>
      <c r="I19" s="350" t="s">
        <v>471</v>
      </c>
      <c r="J19" s="352" t="s">
        <v>471</v>
      </c>
      <c r="K19" s="100" t="s">
        <v>303</v>
      </c>
      <c r="L19" s="41" t="s">
        <v>3391</v>
      </c>
      <c r="M19" s="358">
        <v>60</v>
      </c>
      <c r="N19" s="370">
        <v>28</v>
      </c>
      <c r="O19" s="100" t="s">
        <v>3391</v>
      </c>
      <c r="P19" s="398" t="s">
        <v>3392</v>
      </c>
      <c r="Q19" s="383">
        <v>5768.18</v>
      </c>
      <c r="R19" s="19" t="s">
        <v>51</v>
      </c>
    </row>
    <row r="20" spans="1:17" ht="12.75">
      <c r="A20" s="82"/>
      <c r="B20" s="399"/>
      <c r="C20" s="15"/>
      <c r="D20" s="15"/>
      <c r="E20" s="15"/>
      <c r="F20" s="15"/>
      <c r="G20" s="15"/>
      <c r="H20" s="229"/>
      <c r="I20" s="348"/>
      <c r="J20" s="348"/>
      <c r="K20" s="50"/>
      <c r="L20" s="50"/>
      <c r="M20" s="229"/>
      <c r="N20" s="229"/>
      <c r="O20" s="50"/>
      <c r="P20" s="402"/>
      <c r="Q20" s="229"/>
    </row>
    <row r="21" spans="1:18" ht="15.75">
      <c r="A21" s="97"/>
      <c r="B21" s="434"/>
      <c r="C21" s="508" t="s">
        <v>3062</v>
      </c>
      <c r="D21" s="508"/>
      <c r="E21" s="508"/>
      <c r="F21" s="508"/>
      <c r="G21" s="508"/>
      <c r="H21" s="508"/>
      <c r="I21" s="508"/>
      <c r="J21" s="508"/>
      <c r="K21" s="508"/>
      <c r="L21" s="508"/>
      <c r="M21" s="508"/>
      <c r="N21" s="508"/>
      <c r="O21" s="508"/>
      <c r="P21" s="508"/>
      <c r="Q21" s="508"/>
      <c r="R21" s="15"/>
    </row>
    <row r="22" spans="1:18" ht="12.75">
      <c r="A22" s="97">
        <v>1</v>
      </c>
      <c r="B22" s="434">
        <v>30</v>
      </c>
      <c r="C22" s="20" t="s">
        <v>3782</v>
      </c>
      <c r="D22" s="210" t="s">
        <v>3725</v>
      </c>
      <c r="E22" s="210" t="s">
        <v>3726</v>
      </c>
      <c r="F22" s="210" t="s">
        <v>125</v>
      </c>
      <c r="G22" s="210" t="s">
        <v>143</v>
      </c>
      <c r="H22" s="375">
        <v>150</v>
      </c>
      <c r="I22" s="375">
        <v>155</v>
      </c>
      <c r="J22" s="344" t="s">
        <v>64</v>
      </c>
      <c r="K22" s="200" t="s">
        <v>63</v>
      </c>
      <c r="L22" s="200" t="s">
        <v>3391</v>
      </c>
      <c r="M22" s="346">
        <v>70</v>
      </c>
      <c r="N22" s="346">
        <v>46</v>
      </c>
      <c r="O22" s="347">
        <v>20</v>
      </c>
      <c r="P22" s="347">
        <v>40</v>
      </c>
      <c r="Q22" s="346">
        <v>8443.9766</v>
      </c>
      <c r="R22" s="210" t="s">
        <v>51</v>
      </c>
    </row>
    <row r="23" spans="1:18" ht="12.75">
      <c r="A23" s="97"/>
      <c r="B23" s="434"/>
      <c r="C23" s="15"/>
      <c r="D23" s="15"/>
      <c r="E23" s="15"/>
      <c r="F23" s="15"/>
      <c r="G23" s="15"/>
      <c r="H23" s="229"/>
      <c r="I23" s="229"/>
      <c r="J23" s="348"/>
      <c r="K23" s="50"/>
      <c r="L23" s="50"/>
      <c r="M23" s="229"/>
      <c r="N23" s="229"/>
      <c r="O23" s="29"/>
      <c r="P23" s="29"/>
      <c r="Q23" s="229"/>
      <c r="R23" s="15"/>
    </row>
    <row r="24" spans="1:18" ht="15.75">
      <c r="A24" s="97"/>
      <c r="B24" s="434"/>
      <c r="C24" s="526" t="s">
        <v>2977</v>
      </c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6"/>
      <c r="Q24" s="526"/>
      <c r="R24" s="15"/>
    </row>
    <row r="25" spans="1:18" ht="12.75">
      <c r="A25" s="82" t="s">
        <v>2208</v>
      </c>
      <c r="B25" s="399"/>
      <c r="C25" s="83" t="s">
        <v>2784</v>
      </c>
      <c r="D25" s="17" t="s">
        <v>3727</v>
      </c>
      <c r="E25" s="84" t="s">
        <v>3728</v>
      </c>
      <c r="F25" s="17" t="s">
        <v>31</v>
      </c>
      <c r="G25" s="84" t="s">
        <v>2409</v>
      </c>
      <c r="H25" s="384">
        <v>90</v>
      </c>
      <c r="I25" s="381">
        <v>100</v>
      </c>
      <c r="J25" s="384">
        <v>105</v>
      </c>
      <c r="K25" s="87" t="s">
        <v>471</v>
      </c>
      <c r="L25" s="35" t="s">
        <v>3391</v>
      </c>
      <c r="M25" s="354">
        <v>40</v>
      </c>
      <c r="N25" s="359">
        <v>96</v>
      </c>
      <c r="O25" s="87" t="s">
        <v>3391</v>
      </c>
      <c r="P25" s="405" t="s">
        <v>3392</v>
      </c>
      <c r="Q25" s="280" t="s">
        <v>3729</v>
      </c>
      <c r="R25" s="17" t="s">
        <v>2365</v>
      </c>
    </row>
    <row r="26" spans="1:18" ht="12.75">
      <c r="A26" s="97">
        <v>2</v>
      </c>
      <c r="B26" s="434">
        <v>9</v>
      </c>
      <c r="C26" s="92" t="s">
        <v>3730</v>
      </c>
      <c r="D26" s="18" t="s">
        <v>3731</v>
      </c>
      <c r="E26" s="79" t="s">
        <v>594</v>
      </c>
      <c r="F26" s="18" t="s">
        <v>125</v>
      </c>
      <c r="G26" s="79" t="s">
        <v>143</v>
      </c>
      <c r="H26" s="407">
        <v>70</v>
      </c>
      <c r="I26" s="380">
        <v>80</v>
      </c>
      <c r="J26" s="407">
        <v>85</v>
      </c>
      <c r="K26" s="82" t="s">
        <v>474</v>
      </c>
      <c r="L26" s="38" t="s">
        <v>2731</v>
      </c>
      <c r="M26" s="279">
        <v>40</v>
      </c>
      <c r="N26" s="400">
        <v>31</v>
      </c>
      <c r="O26" s="97">
        <v>18</v>
      </c>
      <c r="P26" s="401">
        <v>36</v>
      </c>
      <c r="Q26" s="279">
        <v>3832.6778</v>
      </c>
      <c r="R26" s="18" t="s">
        <v>3732</v>
      </c>
    </row>
    <row r="27" spans="1:18" ht="12.75">
      <c r="A27" s="97">
        <v>1</v>
      </c>
      <c r="B27" s="434">
        <v>12</v>
      </c>
      <c r="C27" s="92" t="s">
        <v>3783</v>
      </c>
      <c r="D27" s="18" t="s">
        <v>753</v>
      </c>
      <c r="E27" s="79" t="s">
        <v>3733</v>
      </c>
      <c r="F27" s="18" t="s">
        <v>125</v>
      </c>
      <c r="G27" s="79" t="s">
        <v>1643</v>
      </c>
      <c r="H27" s="407">
        <v>140</v>
      </c>
      <c r="I27" s="380">
        <v>145</v>
      </c>
      <c r="J27" s="362" t="s">
        <v>132</v>
      </c>
      <c r="K27" s="82" t="s">
        <v>131</v>
      </c>
      <c r="L27" s="38" t="s">
        <v>3391</v>
      </c>
      <c r="M27" s="279">
        <v>80</v>
      </c>
      <c r="N27" s="400">
        <v>28</v>
      </c>
      <c r="O27" s="97">
        <v>20</v>
      </c>
      <c r="P27" s="401">
        <v>40</v>
      </c>
      <c r="Q27" s="279">
        <v>6555.7128</v>
      </c>
      <c r="R27" s="18" t="s">
        <v>51</v>
      </c>
    </row>
    <row r="28" spans="1:18" ht="12.75">
      <c r="A28" s="97">
        <v>2</v>
      </c>
      <c r="B28" s="434"/>
      <c r="C28" s="92" t="s">
        <v>3784</v>
      </c>
      <c r="D28" s="18" t="s">
        <v>3734</v>
      </c>
      <c r="E28" s="79" t="s">
        <v>3735</v>
      </c>
      <c r="F28" s="18" t="s">
        <v>31</v>
      </c>
      <c r="G28" s="79" t="s">
        <v>1643</v>
      </c>
      <c r="H28" s="362" t="s">
        <v>88</v>
      </c>
      <c r="I28" s="392" t="s">
        <v>88</v>
      </c>
      <c r="J28" s="407">
        <v>120</v>
      </c>
      <c r="K28" s="82" t="s">
        <v>88</v>
      </c>
      <c r="L28" s="38" t="s">
        <v>2731</v>
      </c>
      <c r="M28" s="279">
        <v>80</v>
      </c>
      <c r="N28" s="400">
        <v>21</v>
      </c>
      <c r="O28" s="97">
        <v>18</v>
      </c>
      <c r="P28" s="401">
        <v>36</v>
      </c>
      <c r="Q28" s="279">
        <v>5592.4848</v>
      </c>
      <c r="R28" s="18" t="s">
        <v>51</v>
      </c>
    </row>
    <row r="29" spans="1:18" ht="12.75">
      <c r="A29" s="97">
        <v>1</v>
      </c>
      <c r="B29" s="434">
        <v>12</v>
      </c>
      <c r="C29" s="94" t="s">
        <v>3700</v>
      </c>
      <c r="D29" s="19" t="s">
        <v>3701</v>
      </c>
      <c r="E29" s="98" t="s">
        <v>3702</v>
      </c>
      <c r="F29" s="19" t="s">
        <v>125</v>
      </c>
      <c r="G29" s="98" t="s">
        <v>87</v>
      </c>
      <c r="H29" s="352" t="s">
        <v>544</v>
      </c>
      <c r="I29" s="382">
        <v>115</v>
      </c>
      <c r="J29" s="390">
        <v>117.5</v>
      </c>
      <c r="K29" s="100" t="s">
        <v>528</v>
      </c>
      <c r="L29" s="41" t="s">
        <v>3391</v>
      </c>
      <c r="M29" s="358">
        <v>80</v>
      </c>
      <c r="N29" s="370">
        <v>16</v>
      </c>
      <c r="O29" s="357">
        <v>20</v>
      </c>
      <c r="P29" s="361">
        <v>40</v>
      </c>
      <c r="Q29" s="358">
        <v>5204.4318</v>
      </c>
      <c r="R29" s="19" t="s">
        <v>3704</v>
      </c>
    </row>
    <row r="30" spans="1:18" ht="12.75">
      <c r="A30" s="82"/>
      <c r="B30" s="399"/>
      <c r="C30" s="15"/>
      <c r="D30" s="15"/>
      <c r="E30" s="15"/>
      <c r="F30" s="15"/>
      <c r="G30" s="15"/>
      <c r="H30" s="49"/>
      <c r="I30" s="49"/>
      <c r="J30" s="49"/>
      <c r="K30" s="50"/>
      <c r="L30" s="50"/>
      <c r="M30" s="49"/>
      <c r="N30" s="49"/>
      <c r="O30" s="50"/>
      <c r="P30" s="402"/>
      <c r="Q30" s="49"/>
      <c r="R30" s="15"/>
    </row>
    <row r="31" spans="1:18" ht="15.75">
      <c r="A31" s="97"/>
      <c r="B31" s="434"/>
      <c r="C31" s="526" t="s">
        <v>59</v>
      </c>
      <c r="D31" s="526"/>
      <c r="E31" s="526"/>
      <c r="F31" s="526"/>
      <c r="G31" s="526"/>
      <c r="H31" s="526"/>
      <c r="I31" s="526"/>
      <c r="J31" s="526"/>
      <c r="K31" s="526"/>
      <c r="L31" s="526"/>
      <c r="M31" s="526"/>
      <c r="N31" s="526"/>
      <c r="O31" s="526"/>
      <c r="P31" s="526"/>
      <c r="Q31" s="526"/>
      <c r="R31" s="15"/>
    </row>
    <row r="32" spans="1:18" ht="12.75">
      <c r="A32" s="97">
        <v>1</v>
      </c>
      <c r="B32" s="434">
        <v>12</v>
      </c>
      <c r="C32" s="83" t="s">
        <v>3785</v>
      </c>
      <c r="D32" s="17" t="s">
        <v>3736</v>
      </c>
      <c r="E32" s="84" t="s">
        <v>3510</v>
      </c>
      <c r="F32" s="17" t="s">
        <v>125</v>
      </c>
      <c r="G32" s="84" t="s">
        <v>682</v>
      </c>
      <c r="H32" s="384">
        <v>160</v>
      </c>
      <c r="I32" s="381">
        <v>165</v>
      </c>
      <c r="J32" s="351" t="s">
        <v>153</v>
      </c>
      <c r="K32" s="87" t="s">
        <v>183</v>
      </c>
      <c r="L32" s="35" t="s">
        <v>3391</v>
      </c>
      <c r="M32" s="354">
        <v>90</v>
      </c>
      <c r="N32" s="359">
        <v>27</v>
      </c>
      <c r="O32" s="355">
        <v>18</v>
      </c>
      <c r="P32" s="360">
        <v>38</v>
      </c>
      <c r="Q32" s="354">
        <v>7036.9346</v>
      </c>
      <c r="R32" s="17" t="s">
        <v>51</v>
      </c>
    </row>
    <row r="33" spans="1:18" ht="12.75">
      <c r="A33" s="97">
        <v>2</v>
      </c>
      <c r="B33" s="434"/>
      <c r="C33" s="92" t="s">
        <v>3786</v>
      </c>
      <c r="D33" s="18" t="s">
        <v>3737</v>
      </c>
      <c r="E33" s="79" t="s">
        <v>3738</v>
      </c>
      <c r="F33" s="18" t="s">
        <v>31</v>
      </c>
      <c r="G33" s="79" t="s">
        <v>3511</v>
      </c>
      <c r="H33" s="362" t="s">
        <v>63</v>
      </c>
      <c r="I33" s="380">
        <v>155</v>
      </c>
      <c r="J33" s="407">
        <v>160</v>
      </c>
      <c r="K33" s="82" t="s">
        <v>64</v>
      </c>
      <c r="L33" s="38" t="s">
        <v>2731</v>
      </c>
      <c r="M33" s="279">
        <v>90</v>
      </c>
      <c r="N33" s="400">
        <v>32</v>
      </c>
      <c r="O33" s="97">
        <v>20</v>
      </c>
      <c r="P33" s="401">
        <v>38</v>
      </c>
      <c r="Q33" s="279">
        <v>7365.2432</v>
      </c>
      <c r="R33" s="18" t="s">
        <v>1906</v>
      </c>
    </row>
    <row r="34" spans="1:18" ht="12.75">
      <c r="A34" s="97">
        <v>3</v>
      </c>
      <c r="B34" s="434">
        <v>8</v>
      </c>
      <c r="C34" s="92" t="s">
        <v>3787</v>
      </c>
      <c r="D34" s="18" t="s">
        <v>3739</v>
      </c>
      <c r="E34" s="79" t="s">
        <v>651</v>
      </c>
      <c r="F34" s="18" t="s">
        <v>125</v>
      </c>
      <c r="G34" s="79" t="s">
        <v>1643</v>
      </c>
      <c r="H34" s="407">
        <v>140</v>
      </c>
      <c r="I34" s="392" t="s">
        <v>132</v>
      </c>
      <c r="J34" s="362" t="s">
        <v>132</v>
      </c>
      <c r="K34" s="82" t="s">
        <v>480</v>
      </c>
      <c r="L34" s="38" t="s">
        <v>3478</v>
      </c>
      <c r="M34" s="279">
        <v>90</v>
      </c>
      <c r="N34" s="400">
        <v>27</v>
      </c>
      <c r="O34" s="97">
        <v>16</v>
      </c>
      <c r="P34" s="401">
        <v>32</v>
      </c>
      <c r="Q34" s="279">
        <v>6307.658</v>
      </c>
      <c r="R34" s="18" t="s">
        <v>1906</v>
      </c>
    </row>
    <row r="35" spans="1:18" ht="12.75">
      <c r="A35" s="82" t="s">
        <v>2208</v>
      </c>
      <c r="B35" s="399" t="s">
        <v>3526</v>
      </c>
      <c r="C35" s="94" t="s">
        <v>3766</v>
      </c>
      <c r="D35" s="19" t="s">
        <v>3664</v>
      </c>
      <c r="E35" s="98" t="s">
        <v>151</v>
      </c>
      <c r="F35" s="19" t="s">
        <v>125</v>
      </c>
      <c r="G35" s="98" t="s">
        <v>570</v>
      </c>
      <c r="H35" s="385">
        <v>100</v>
      </c>
      <c r="I35" s="382">
        <v>110</v>
      </c>
      <c r="J35" s="385">
        <v>115</v>
      </c>
      <c r="K35" s="100" t="s">
        <v>446</v>
      </c>
      <c r="L35" s="41" t="s">
        <v>3391</v>
      </c>
      <c r="M35" s="358">
        <v>90</v>
      </c>
      <c r="N35" s="265" t="s">
        <v>2689</v>
      </c>
      <c r="O35" s="100" t="s">
        <v>3391</v>
      </c>
      <c r="P35" s="398" t="s">
        <v>3392</v>
      </c>
      <c r="Q35" s="281" t="s">
        <v>3740</v>
      </c>
      <c r="R35" s="19" t="s">
        <v>1906</v>
      </c>
    </row>
    <row r="36" spans="1:18" ht="12.75">
      <c r="A36" s="82"/>
      <c r="B36" s="399"/>
      <c r="C36" s="15"/>
      <c r="D36" s="15"/>
      <c r="E36" s="15"/>
      <c r="F36" s="15"/>
      <c r="G36" s="15"/>
      <c r="H36" s="49"/>
      <c r="I36" s="49"/>
      <c r="J36" s="49"/>
      <c r="K36" s="50"/>
      <c r="L36" s="50"/>
      <c r="M36" s="49"/>
      <c r="N36" s="49"/>
      <c r="O36" s="50"/>
      <c r="P36" s="402"/>
      <c r="Q36" s="49"/>
      <c r="R36" s="15"/>
    </row>
    <row r="37" spans="1:18" ht="15.75">
      <c r="A37" s="97"/>
      <c r="B37" s="434"/>
      <c r="C37" s="526" t="s">
        <v>164</v>
      </c>
      <c r="D37" s="526"/>
      <c r="E37" s="526"/>
      <c r="F37" s="526"/>
      <c r="G37" s="526"/>
      <c r="H37" s="526"/>
      <c r="I37" s="526"/>
      <c r="J37" s="526"/>
      <c r="K37" s="526"/>
      <c r="L37" s="526"/>
      <c r="M37" s="526"/>
      <c r="N37" s="526"/>
      <c r="O37" s="526"/>
      <c r="P37" s="526"/>
      <c r="Q37" s="526"/>
      <c r="R37" s="15"/>
    </row>
    <row r="38" spans="1:18" ht="12.75">
      <c r="A38" s="82" t="s">
        <v>2208</v>
      </c>
      <c r="B38" s="399" t="s">
        <v>2708</v>
      </c>
      <c r="C38" s="83" t="s">
        <v>3788</v>
      </c>
      <c r="D38" s="17" t="s">
        <v>3297</v>
      </c>
      <c r="E38" s="84" t="s">
        <v>3298</v>
      </c>
      <c r="F38" s="17" t="s">
        <v>125</v>
      </c>
      <c r="G38" s="408" t="s">
        <v>3350</v>
      </c>
      <c r="H38" s="384">
        <v>200</v>
      </c>
      <c r="I38" s="349" t="s">
        <v>192</v>
      </c>
      <c r="J38" s="384">
        <v>215</v>
      </c>
      <c r="K38" s="87" t="s">
        <v>192</v>
      </c>
      <c r="L38" s="35" t="s">
        <v>3391</v>
      </c>
      <c r="M38" s="354">
        <v>100</v>
      </c>
      <c r="N38" s="359">
        <v>40</v>
      </c>
      <c r="O38" s="87" t="s">
        <v>3391</v>
      </c>
      <c r="P38" s="405" t="s">
        <v>3392</v>
      </c>
      <c r="Q38" s="280" t="s">
        <v>3741</v>
      </c>
      <c r="R38" s="17" t="s">
        <v>1906</v>
      </c>
    </row>
    <row r="39" spans="1:18" ht="12.75">
      <c r="A39" s="82" t="s">
        <v>2209</v>
      </c>
      <c r="B39" s="399" t="s">
        <v>2614</v>
      </c>
      <c r="C39" s="92" t="s">
        <v>3777</v>
      </c>
      <c r="D39" s="18" t="s">
        <v>3668</v>
      </c>
      <c r="E39" s="79" t="s">
        <v>3298</v>
      </c>
      <c r="F39" s="18" t="s">
        <v>125</v>
      </c>
      <c r="G39" s="79" t="s">
        <v>1304</v>
      </c>
      <c r="H39" s="407">
        <v>165</v>
      </c>
      <c r="I39" s="380">
        <v>170</v>
      </c>
      <c r="J39" s="407">
        <v>175</v>
      </c>
      <c r="K39" s="82" t="s">
        <v>126</v>
      </c>
      <c r="L39" s="38" t="s">
        <v>2731</v>
      </c>
      <c r="M39" s="279">
        <v>100</v>
      </c>
      <c r="N39" s="400">
        <v>27</v>
      </c>
      <c r="O39" s="82" t="s">
        <v>3478</v>
      </c>
      <c r="P39" s="406" t="s">
        <v>3558</v>
      </c>
      <c r="Q39" s="104" t="s">
        <v>3742</v>
      </c>
      <c r="R39" s="18" t="s">
        <v>3670</v>
      </c>
    </row>
    <row r="40" spans="1:18" ht="12.75">
      <c r="A40" s="82" t="s">
        <v>2210</v>
      </c>
      <c r="B40" s="399"/>
      <c r="C40" s="94" t="s">
        <v>3789</v>
      </c>
      <c r="D40" s="19" t="s">
        <v>3743</v>
      </c>
      <c r="E40" s="98" t="s">
        <v>837</v>
      </c>
      <c r="F40" s="19" t="s">
        <v>31</v>
      </c>
      <c r="G40" s="98" t="s">
        <v>1643</v>
      </c>
      <c r="H40" s="390">
        <v>172.5</v>
      </c>
      <c r="I40" s="350" t="s">
        <v>269</v>
      </c>
      <c r="J40" s="352" t="s">
        <v>269</v>
      </c>
      <c r="K40" s="100" t="s">
        <v>555</v>
      </c>
      <c r="L40" s="41" t="s">
        <v>3478</v>
      </c>
      <c r="M40" s="358">
        <v>100</v>
      </c>
      <c r="N40" s="370">
        <v>28</v>
      </c>
      <c r="O40" s="100" t="s">
        <v>2731</v>
      </c>
      <c r="P40" s="398" t="s">
        <v>3558</v>
      </c>
      <c r="Q40" s="281" t="s">
        <v>3744</v>
      </c>
      <c r="R40" s="19" t="s">
        <v>1906</v>
      </c>
    </row>
    <row r="41" spans="1:18" ht="12.75">
      <c r="A41" s="82"/>
      <c r="B41" s="399"/>
      <c r="C41" s="15"/>
      <c r="D41" s="15"/>
      <c r="E41" s="15"/>
      <c r="F41" s="15"/>
      <c r="G41" s="15"/>
      <c r="H41" s="49"/>
      <c r="I41" s="49"/>
      <c r="J41" s="49"/>
      <c r="K41" s="50"/>
      <c r="L41" s="50"/>
      <c r="M41" s="49"/>
      <c r="N41" s="49"/>
      <c r="O41" s="50"/>
      <c r="P41" s="402"/>
      <c r="Q41" s="49"/>
      <c r="R41" s="15"/>
    </row>
    <row r="42" spans="1:18" ht="15.75">
      <c r="A42" s="97"/>
      <c r="B42" s="434"/>
      <c r="C42" s="526" t="s">
        <v>227</v>
      </c>
      <c r="D42" s="526"/>
      <c r="E42" s="526"/>
      <c r="F42" s="526"/>
      <c r="G42" s="526"/>
      <c r="H42" s="526"/>
      <c r="I42" s="526"/>
      <c r="J42" s="526"/>
      <c r="K42" s="526"/>
      <c r="L42" s="526"/>
      <c r="M42" s="526"/>
      <c r="N42" s="526"/>
      <c r="O42" s="526"/>
      <c r="P42" s="526"/>
      <c r="Q42" s="526"/>
      <c r="R42" s="15"/>
    </row>
    <row r="43" spans="1:18" ht="12.75">
      <c r="A43" s="82" t="s">
        <v>2208</v>
      </c>
      <c r="B43" s="399" t="s">
        <v>3506</v>
      </c>
      <c r="C43" s="83" t="s">
        <v>3790</v>
      </c>
      <c r="D43" s="17" t="s">
        <v>3745</v>
      </c>
      <c r="E43" s="84" t="s">
        <v>3095</v>
      </c>
      <c r="F43" s="17" t="s">
        <v>125</v>
      </c>
      <c r="G43" s="84" t="s">
        <v>1643</v>
      </c>
      <c r="H43" s="384">
        <v>175</v>
      </c>
      <c r="I43" s="387">
        <v>182.5</v>
      </c>
      <c r="J43" s="351" t="s">
        <v>175</v>
      </c>
      <c r="K43" s="87" t="s">
        <v>350</v>
      </c>
      <c r="L43" s="35" t="s">
        <v>3391</v>
      </c>
      <c r="M43" s="354">
        <v>110</v>
      </c>
      <c r="N43" s="359">
        <v>21</v>
      </c>
      <c r="O43" s="87" t="s">
        <v>3391</v>
      </c>
      <c r="P43" s="405" t="s">
        <v>3392</v>
      </c>
      <c r="Q43" s="280" t="s">
        <v>3746</v>
      </c>
      <c r="R43" s="17" t="s">
        <v>1906</v>
      </c>
    </row>
    <row r="44" spans="1:18" ht="12.75">
      <c r="A44" s="82" t="s">
        <v>2209</v>
      </c>
      <c r="B44" s="399" t="s">
        <v>2614</v>
      </c>
      <c r="C44" s="92" t="s">
        <v>3791</v>
      </c>
      <c r="D44" s="18" t="s">
        <v>3747</v>
      </c>
      <c r="E44" s="79" t="s">
        <v>3748</v>
      </c>
      <c r="F44" s="18" t="s">
        <v>125</v>
      </c>
      <c r="G44" s="79" t="s">
        <v>1304</v>
      </c>
      <c r="H44" s="407">
        <v>165</v>
      </c>
      <c r="I44" s="380">
        <v>170</v>
      </c>
      <c r="J44" s="407">
        <v>180</v>
      </c>
      <c r="K44" s="82" t="s">
        <v>127</v>
      </c>
      <c r="L44" s="38" t="s">
        <v>2731</v>
      </c>
      <c r="M44" s="279">
        <v>110</v>
      </c>
      <c r="N44" s="400">
        <v>19</v>
      </c>
      <c r="O44" s="82" t="s">
        <v>2731</v>
      </c>
      <c r="P44" s="406" t="s">
        <v>2708</v>
      </c>
      <c r="Q44" s="104" t="s">
        <v>3749</v>
      </c>
      <c r="R44" s="18" t="s">
        <v>3670</v>
      </c>
    </row>
    <row r="45" spans="1:18" ht="12.75">
      <c r="A45" s="82" t="s">
        <v>2210</v>
      </c>
      <c r="B45" s="399"/>
      <c r="C45" s="92" t="s">
        <v>3792</v>
      </c>
      <c r="D45" s="18" t="s">
        <v>3750</v>
      </c>
      <c r="E45" s="79" t="s">
        <v>837</v>
      </c>
      <c r="F45" s="18" t="s">
        <v>31</v>
      </c>
      <c r="G45" s="79" t="s">
        <v>3336</v>
      </c>
      <c r="H45" s="407">
        <v>140</v>
      </c>
      <c r="I45" s="386">
        <v>147.5</v>
      </c>
      <c r="J45" s="362" t="s">
        <v>132</v>
      </c>
      <c r="K45" s="82" t="s">
        <v>132</v>
      </c>
      <c r="L45" s="38" t="s">
        <v>3478</v>
      </c>
      <c r="M45" s="279">
        <v>110</v>
      </c>
      <c r="N45" s="400">
        <v>16</v>
      </c>
      <c r="O45" s="82" t="s">
        <v>3478</v>
      </c>
      <c r="P45" s="406" t="s">
        <v>2938</v>
      </c>
      <c r="Q45" s="104" t="s">
        <v>3751</v>
      </c>
      <c r="R45" s="18" t="s">
        <v>1906</v>
      </c>
    </row>
    <row r="46" spans="1:18" ht="12.75">
      <c r="A46" s="97">
        <v>1</v>
      </c>
      <c r="B46" s="434">
        <v>12</v>
      </c>
      <c r="C46" s="94" t="s">
        <v>3768</v>
      </c>
      <c r="D46" s="19" t="s">
        <v>3363</v>
      </c>
      <c r="E46" s="98" t="s">
        <v>726</v>
      </c>
      <c r="F46" s="19" t="s">
        <v>125</v>
      </c>
      <c r="G46" s="98" t="s">
        <v>1643</v>
      </c>
      <c r="H46" s="385">
        <v>140</v>
      </c>
      <c r="I46" s="394" t="s">
        <v>811</v>
      </c>
      <c r="J46" s="397" t="s">
        <v>132</v>
      </c>
      <c r="K46" s="100" t="s">
        <v>132</v>
      </c>
      <c r="L46" s="41" t="s">
        <v>3391</v>
      </c>
      <c r="M46" s="281" t="s">
        <v>3337</v>
      </c>
      <c r="N46" s="265" t="s">
        <v>2731</v>
      </c>
      <c r="O46" s="357">
        <v>20</v>
      </c>
      <c r="P46" s="361">
        <v>40</v>
      </c>
      <c r="Q46" s="358">
        <v>5924.1525</v>
      </c>
      <c r="R46" s="19" t="s">
        <v>1906</v>
      </c>
    </row>
    <row r="47" spans="1:18" ht="12.75">
      <c r="A47" s="97"/>
      <c r="B47" s="434"/>
      <c r="C47" s="15"/>
      <c r="D47" s="15"/>
      <c r="E47" s="15"/>
      <c r="F47" s="15"/>
      <c r="G47" s="15"/>
      <c r="H47" s="49"/>
      <c r="I47" s="49"/>
      <c r="J47" s="49"/>
      <c r="K47" s="50"/>
      <c r="L47" s="50"/>
      <c r="M47" s="49"/>
      <c r="N47" s="49"/>
      <c r="O47" s="29"/>
      <c r="P47" s="29"/>
      <c r="Q47" s="229"/>
      <c r="R47" s="15"/>
    </row>
    <row r="48" spans="1:18" ht="15.75">
      <c r="A48" s="97"/>
      <c r="B48" s="434"/>
      <c r="C48" s="526" t="s">
        <v>3319</v>
      </c>
      <c r="D48" s="526"/>
      <c r="E48" s="526"/>
      <c r="F48" s="526"/>
      <c r="G48" s="526"/>
      <c r="H48" s="526"/>
      <c r="I48" s="526"/>
      <c r="J48" s="526"/>
      <c r="K48" s="526"/>
      <c r="L48" s="526"/>
      <c r="M48" s="526"/>
      <c r="N48" s="526"/>
      <c r="O48" s="526"/>
      <c r="P48" s="526"/>
      <c r="Q48" s="526"/>
      <c r="R48" s="15"/>
    </row>
    <row r="49" spans="1:18" ht="12.75">
      <c r="A49" s="97">
        <v>1</v>
      </c>
      <c r="B49" s="434">
        <v>24</v>
      </c>
      <c r="C49" s="17" t="s">
        <v>3793</v>
      </c>
      <c r="D49" s="88" t="s">
        <v>3687</v>
      </c>
      <c r="E49" s="84" t="s">
        <v>3683</v>
      </c>
      <c r="F49" s="17" t="s">
        <v>125</v>
      </c>
      <c r="G49" s="84" t="s">
        <v>143</v>
      </c>
      <c r="H49" s="384">
        <v>190</v>
      </c>
      <c r="I49" s="349" t="s">
        <v>190</v>
      </c>
      <c r="J49" s="351" t="s">
        <v>121</v>
      </c>
      <c r="K49" s="87" t="s">
        <v>108</v>
      </c>
      <c r="L49" s="35" t="s">
        <v>3391</v>
      </c>
      <c r="M49" s="354">
        <v>120</v>
      </c>
      <c r="N49" s="359">
        <v>31</v>
      </c>
      <c r="O49" s="355">
        <v>20</v>
      </c>
      <c r="P49" s="360">
        <v>40</v>
      </c>
      <c r="Q49" s="354">
        <v>8352.1536</v>
      </c>
      <c r="R49" s="17" t="s">
        <v>1906</v>
      </c>
    </row>
    <row r="50" spans="1:18" ht="12.75">
      <c r="A50" s="97">
        <v>1</v>
      </c>
      <c r="B50" s="434">
        <v>24</v>
      </c>
      <c r="C50" s="19" t="s">
        <v>3793</v>
      </c>
      <c r="D50" s="95" t="s">
        <v>3752</v>
      </c>
      <c r="E50" s="98" t="s">
        <v>3683</v>
      </c>
      <c r="F50" s="19" t="s">
        <v>125</v>
      </c>
      <c r="G50" s="98" t="s">
        <v>143</v>
      </c>
      <c r="H50" s="385">
        <v>190</v>
      </c>
      <c r="I50" s="350" t="s">
        <v>190</v>
      </c>
      <c r="J50" s="352" t="s">
        <v>121</v>
      </c>
      <c r="K50" s="100" t="s">
        <v>108</v>
      </c>
      <c r="L50" s="41" t="s">
        <v>3391</v>
      </c>
      <c r="M50" s="358">
        <v>120</v>
      </c>
      <c r="N50" s="370">
        <v>31</v>
      </c>
      <c r="O50" s="357">
        <v>20</v>
      </c>
      <c r="P50" s="361">
        <v>40</v>
      </c>
      <c r="Q50" s="358">
        <v>8352.1536</v>
      </c>
      <c r="R50" s="19" t="s">
        <v>1906</v>
      </c>
    </row>
    <row r="51" spans="1:18" ht="12.75">
      <c r="A51" s="97"/>
      <c r="B51" s="434"/>
      <c r="C51" s="15"/>
      <c r="D51" s="15"/>
      <c r="E51" s="15"/>
      <c r="F51" s="15"/>
      <c r="G51" s="15"/>
      <c r="H51" s="49"/>
      <c r="I51" s="49"/>
      <c r="J51" s="49"/>
      <c r="K51" s="50"/>
      <c r="L51" s="50"/>
      <c r="M51" s="49"/>
      <c r="N51" s="49"/>
      <c r="O51" s="29"/>
      <c r="P51" s="29"/>
      <c r="Q51" s="229"/>
      <c r="R51" s="15"/>
    </row>
    <row r="52" spans="1:17" ht="15.75">
      <c r="A52" s="97"/>
      <c r="B52" s="434"/>
      <c r="C52" s="508" t="s">
        <v>3480</v>
      </c>
      <c r="D52" s="508"/>
      <c r="E52" s="508"/>
      <c r="F52" s="508"/>
      <c r="G52" s="508"/>
      <c r="H52" s="508"/>
      <c r="I52" s="508"/>
      <c r="J52" s="508"/>
      <c r="K52" s="508"/>
      <c r="L52" s="508"/>
      <c r="M52" s="508"/>
      <c r="N52" s="508"/>
      <c r="O52" s="508"/>
      <c r="P52" s="508"/>
      <c r="Q52" s="508"/>
    </row>
    <row r="53" spans="1:18" ht="12.75">
      <c r="A53" s="97">
        <v>1</v>
      </c>
      <c r="B53" s="434"/>
      <c r="C53" s="20" t="s">
        <v>3794</v>
      </c>
      <c r="D53" s="210" t="s">
        <v>3754</v>
      </c>
      <c r="E53" s="210" t="s">
        <v>3755</v>
      </c>
      <c r="F53" s="210" t="s">
        <v>31</v>
      </c>
      <c r="G53" s="210" t="s">
        <v>3593</v>
      </c>
      <c r="H53" s="375">
        <v>190</v>
      </c>
      <c r="I53" s="375">
        <v>200</v>
      </c>
      <c r="J53" s="375">
        <v>205</v>
      </c>
      <c r="K53" s="200" t="s">
        <v>121</v>
      </c>
      <c r="L53" s="200" t="s">
        <v>3391</v>
      </c>
      <c r="M53" s="346">
        <v>130</v>
      </c>
      <c r="N53" s="346">
        <v>18</v>
      </c>
      <c r="O53" s="347">
        <v>20</v>
      </c>
      <c r="P53" s="347">
        <v>40</v>
      </c>
      <c r="Q53" s="346">
        <v>7623.0165</v>
      </c>
      <c r="R53" s="210" t="s">
        <v>1906</v>
      </c>
    </row>
    <row r="54" spans="1:18" ht="12.75">
      <c r="A54" s="82"/>
      <c r="B54" s="399"/>
      <c r="C54" s="15"/>
      <c r="D54" s="15"/>
      <c r="E54" s="15"/>
      <c r="F54" s="15"/>
      <c r="G54" s="15"/>
      <c r="H54" s="49"/>
      <c r="I54" s="49"/>
      <c r="J54" s="49"/>
      <c r="K54" s="50"/>
      <c r="L54" s="50"/>
      <c r="M54" s="49"/>
      <c r="N54" s="49"/>
      <c r="O54" s="50"/>
      <c r="P54" s="402"/>
      <c r="Q54" s="49"/>
      <c r="R54" s="15"/>
    </row>
    <row r="55" spans="1:18" ht="18">
      <c r="A55" s="50"/>
      <c r="B55" s="402"/>
      <c r="C55" s="343" t="s">
        <v>370</v>
      </c>
      <c r="D55" s="16"/>
      <c r="E55" s="15"/>
      <c r="F55" s="15"/>
      <c r="G55" s="15"/>
      <c r="H55" s="49"/>
      <c r="I55" s="49"/>
      <c r="J55" s="49"/>
      <c r="K55" s="50"/>
      <c r="L55" s="50"/>
      <c r="M55" s="49"/>
      <c r="N55" s="49"/>
      <c r="O55" s="50"/>
      <c r="P55" s="402"/>
      <c r="Q55" s="49"/>
      <c r="R55" s="15"/>
    </row>
    <row r="56" spans="1:18" ht="18">
      <c r="A56" s="50"/>
      <c r="B56" s="402"/>
      <c r="C56" s="272" t="s">
        <v>2145</v>
      </c>
      <c r="D56" s="16"/>
      <c r="E56" s="15"/>
      <c r="F56" s="15"/>
      <c r="G56" s="15"/>
      <c r="H56" s="49"/>
      <c r="I56" s="49"/>
      <c r="J56" s="49"/>
      <c r="K56" s="50"/>
      <c r="L56" s="50"/>
      <c r="M56" s="49"/>
      <c r="N56" s="49"/>
      <c r="O56" s="50"/>
      <c r="P56" s="402"/>
      <c r="Q56" s="49"/>
      <c r="R56" s="15"/>
    </row>
    <row r="57" spans="1:18" ht="12.75">
      <c r="A57" s="50"/>
      <c r="B57" s="402"/>
      <c r="C57" s="15"/>
      <c r="D57" s="15"/>
      <c r="E57" s="15"/>
      <c r="F57" s="15"/>
      <c r="G57" s="15"/>
      <c r="H57" s="49"/>
      <c r="I57" s="49"/>
      <c r="J57" s="49"/>
      <c r="K57" s="50"/>
      <c r="L57" s="50"/>
      <c r="M57" s="49"/>
      <c r="N57" s="49"/>
      <c r="O57" s="50"/>
      <c r="P57" s="402"/>
      <c r="Q57" s="49"/>
      <c r="R57" s="15"/>
    </row>
    <row r="58" spans="1:18" ht="13.5">
      <c r="A58" s="50"/>
      <c r="B58" s="402"/>
      <c r="C58" s="26" t="s">
        <v>373</v>
      </c>
      <c r="D58" s="181" t="s">
        <v>374</v>
      </c>
      <c r="E58" s="181" t="s">
        <v>3286</v>
      </c>
      <c r="F58" s="181" t="s">
        <v>377</v>
      </c>
      <c r="G58" s="15"/>
      <c r="H58" s="49"/>
      <c r="I58" s="49"/>
      <c r="J58" s="49"/>
      <c r="K58" s="50"/>
      <c r="L58" s="50"/>
      <c r="M58" s="49"/>
      <c r="N58" s="49"/>
      <c r="O58" s="50"/>
      <c r="P58" s="402"/>
      <c r="Q58" s="49"/>
      <c r="R58" s="15"/>
    </row>
    <row r="59" spans="1:18" ht="12.75">
      <c r="A59" s="50" t="s">
        <v>2208</v>
      </c>
      <c r="B59" s="402"/>
      <c r="C59" s="15" t="s">
        <v>3714</v>
      </c>
      <c r="D59" s="49" t="s">
        <v>3189</v>
      </c>
      <c r="E59" s="49" t="s">
        <v>3716</v>
      </c>
      <c r="F59" s="49" t="s">
        <v>3717</v>
      </c>
      <c r="G59" s="15"/>
      <c r="H59" s="49"/>
      <c r="I59" s="49"/>
      <c r="J59" s="49"/>
      <c r="K59" s="50"/>
      <c r="L59" s="50"/>
      <c r="M59" s="49"/>
      <c r="N59" s="49"/>
      <c r="O59" s="50"/>
      <c r="P59" s="402"/>
      <c r="Q59" s="49"/>
      <c r="R59" s="15"/>
    </row>
    <row r="60" spans="1:18" ht="12.75">
      <c r="A60" s="50" t="s">
        <v>2209</v>
      </c>
      <c r="B60" s="402"/>
      <c r="C60" s="15" t="s">
        <v>3650</v>
      </c>
      <c r="D60" s="49" t="s">
        <v>3189</v>
      </c>
      <c r="E60" s="49" t="s">
        <v>3652</v>
      </c>
      <c r="F60" s="49" t="s">
        <v>3719</v>
      </c>
      <c r="G60" s="15"/>
      <c r="H60" s="49"/>
      <c r="I60" s="49"/>
      <c r="J60" s="49"/>
      <c r="K60" s="50"/>
      <c r="L60" s="50"/>
      <c r="M60" s="49"/>
      <c r="N60" s="49"/>
      <c r="O60" s="50"/>
      <c r="P60" s="402"/>
      <c r="Q60" s="49"/>
      <c r="R60" s="15"/>
    </row>
    <row r="61" spans="1:18" ht="12.75">
      <c r="A61" s="50" t="s">
        <v>2210</v>
      </c>
      <c r="B61" s="402"/>
      <c r="C61" s="15" t="s">
        <v>3655</v>
      </c>
      <c r="D61" s="49" t="s">
        <v>3189</v>
      </c>
      <c r="E61" s="49" t="s">
        <v>515</v>
      </c>
      <c r="F61" s="49" t="s">
        <v>3721</v>
      </c>
      <c r="G61" s="15"/>
      <c r="H61" s="49"/>
      <c r="I61" s="49"/>
      <c r="J61" s="49"/>
      <c r="K61" s="50"/>
      <c r="L61" s="50"/>
      <c r="M61" s="49"/>
      <c r="N61" s="49"/>
      <c r="O61" s="50"/>
      <c r="P61" s="402"/>
      <c r="Q61" s="49"/>
      <c r="R61" s="15"/>
    </row>
    <row r="62" spans="1:18" ht="18">
      <c r="A62" s="50"/>
      <c r="B62" s="402"/>
      <c r="C62" s="343"/>
      <c r="D62" s="230"/>
      <c r="E62" s="49"/>
      <c r="F62" s="49"/>
      <c r="G62" s="15"/>
      <c r="H62" s="49"/>
      <c r="I62" s="49"/>
      <c r="J62" s="49"/>
      <c r="K62" s="50"/>
      <c r="L62" s="50"/>
      <c r="M62" s="49"/>
      <c r="N62" s="49"/>
      <c r="O62" s="50"/>
      <c r="P62" s="402"/>
      <c r="Q62" s="49"/>
      <c r="R62" s="15"/>
    </row>
    <row r="63" spans="1:18" ht="18">
      <c r="A63" s="50"/>
      <c r="B63" s="402"/>
      <c r="C63" s="272" t="s">
        <v>387</v>
      </c>
      <c r="D63" s="230"/>
      <c r="E63" s="49"/>
      <c r="F63" s="49"/>
      <c r="G63" s="15"/>
      <c r="H63" s="49"/>
      <c r="I63" s="49"/>
      <c r="J63" s="49"/>
      <c r="K63" s="50"/>
      <c r="L63" s="50"/>
      <c r="M63" s="49"/>
      <c r="N63" s="49"/>
      <c r="O63" s="50"/>
      <c r="P63" s="402"/>
      <c r="Q63" s="49"/>
      <c r="R63" s="15"/>
    </row>
    <row r="64" spans="1:18" ht="12.75">
      <c r="A64" s="50"/>
      <c r="B64" s="402"/>
      <c r="C64" s="15"/>
      <c r="D64" s="49"/>
      <c r="E64" s="49"/>
      <c r="F64" s="49"/>
      <c r="G64" s="15"/>
      <c r="H64" s="49"/>
      <c r="I64" s="49"/>
      <c r="J64" s="49"/>
      <c r="K64" s="50"/>
      <c r="L64" s="50"/>
      <c r="M64" s="49"/>
      <c r="N64" s="49"/>
      <c r="O64" s="50"/>
      <c r="P64" s="402"/>
      <c r="Q64" s="49"/>
      <c r="R64" s="15"/>
    </row>
    <row r="65" spans="1:18" ht="13.5">
      <c r="A65" s="50"/>
      <c r="B65" s="402"/>
      <c r="C65" s="26" t="s">
        <v>373</v>
      </c>
      <c r="D65" s="181" t="s">
        <v>374</v>
      </c>
      <c r="E65" s="181" t="s">
        <v>3286</v>
      </c>
      <c r="F65" s="181" t="s">
        <v>377</v>
      </c>
      <c r="G65" s="15"/>
      <c r="H65" s="49"/>
      <c r="I65" s="49"/>
      <c r="J65" s="49"/>
      <c r="K65" s="50"/>
      <c r="L65" s="50"/>
      <c r="M65" s="49"/>
      <c r="N65" s="49"/>
      <c r="O65" s="50"/>
      <c r="P65" s="402"/>
      <c r="Q65" s="49"/>
      <c r="R65" s="15"/>
    </row>
    <row r="66" spans="1:18" ht="12.75">
      <c r="A66" s="50" t="s">
        <v>2208</v>
      </c>
      <c r="B66" s="402"/>
      <c r="C66" s="15" t="s">
        <v>2784</v>
      </c>
      <c r="D66" s="49" t="s">
        <v>3756</v>
      </c>
      <c r="E66" s="49" t="s">
        <v>3728</v>
      </c>
      <c r="F66" s="49" t="s">
        <v>3729</v>
      </c>
      <c r="G66" s="15"/>
      <c r="H66" s="49"/>
      <c r="I66" s="49"/>
      <c r="J66" s="49"/>
      <c r="K66" s="50"/>
      <c r="L66" s="50"/>
      <c r="M66" s="49"/>
      <c r="N66" s="49"/>
      <c r="O66" s="50"/>
      <c r="P66" s="402"/>
      <c r="Q66" s="49"/>
      <c r="R66" s="15"/>
    </row>
    <row r="67" spans="1:18" ht="12.75">
      <c r="A67" s="50" t="s">
        <v>2209</v>
      </c>
      <c r="B67" s="402"/>
      <c r="C67" s="15" t="s">
        <v>3658</v>
      </c>
      <c r="D67" s="49" t="s">
        <v>3756</v>
      </c>
      <c r="E67" s="49" t="s">
        <v>3660</v>
      </c>
      <c r="F67" s="229">
        <v>4002.3625</v>
      </c>
      <c r="G67" s="15"/>
      <c r="H67" s="49"/>
      <c r="I67" s="49"/>
      <c r="J67" s="49"/>
      <c r="K67" s="50"/>
      <c r="L67" s="50"/>
      <c r="M67" s="49"/>
      <c r="N67" s="49"/>
      <c r="O67" s="50"/>
      <c r="P67" s="402"/>
      <c r="Q67" s="49"/>
      <c r="R67" s="15"/>
    </row>
    <row r="68" spans="1:18" ht="12.75">
      <c r="A68" s="50" t="s">
        <v>2210</v>
      </c>
      <c r="B68" s="402"/>
      <c r="C68" s="15" t="s">
        <v>3730</v>
      </c>
      <c r="D68" s="49" t="s">
        <v>3756</v>
      </c>
      <c r="E68" s="49" t="s">
        <v>594</v>
      </c>
      <c r="F68" s="229">
        <v>3832.6778</v>
      </c>
      <c r="G68" s="15"/>
      <c r="H68" s="49"/>
      <c r="I68" s="49"/>
      <c r="J68" s="49"/>
      <c r="K68" s="50"/>
      <c r="L68" s="50"/>
      <c r="M68" s="49"/>
      <c r="N68" s="49"/>
      <c r="O68" s="50"/>
      <c r="P68" s="402"/>
      <c r="Q68" s="49"/>
      <c r="R68" s="15"/>
    </row>
    <row r="69" spans="1:18" ht="12.75">
      <c r="A69" s="50"/>
      <c r="B69" s="402"/>
      <c r="C69" s="15"/>
      <c r="D69" s="49"/>
      <c r="E69" s="49"/>
      <c r="F69" s="49"/>
      <c r="G69" s="15"/>
      <c r="H69" s="49"/>
      <c r="I69" s="49"/>
      <c r="J69" s="49"/>
      <c r="K69" s="50"/>
      <c r="L69" s="50"/>
      <c r="M69" s="49"/>
      <c r="N69" s="49"/>
      <c r="O69" s="50"/>
      <c r="P69" s="402"/>
      <c r="Q69" s="49"/>
      <c r="R69" s="15"/>
    </row>
    <row r="70" spans="1:18" ht="12.75">
      <c r="A70" s="50"/>
      <c r="B70" s="402"/>
      <c r="C70" s="15"/>
      <c r="D70" s="49"/>
      <c r="E70" s="49"/>
      <c r="F70" s="49"/>
      <c r="G70" s="15"/>
      <c r="H70" s="49"/>
      <c r="I70" s="49"/>
      <c r="J70" s="49"/>
      <c r="K70" s="50"/>
      <c r="L70" s="50"/>
      <c r="M70" s="49"/>
      <c r="N70" s="49"/>
      <c r="O70" s="50"/>
      <c r="P70" s="402"/>
      <c r="Q70" s="49"/>
      <c r="R70" s="15"/>
    </row>
    <row r="71" spans="1:18" ht="13.5">
      <c r="A71" s="50"/>
      <c r="B71" s="402"/>
      <c r="C71" s="26" t="s">
        <v>373</v>
      </c>
      <c r="D71" s="181" t="s">
        <v>374</v>
      </c>
      <c r="E71" s="181" t="s">
        <v>3286</v>
      </c>
      <c r="F71" s="181" t="s">
        <v>377</v>
      </c>
      <c r="G71" s="15"/>
      <c r="H71" s="49"/>
      <c r="I71" s="49"/>
      <c r="J71" s="49"/>
      <c r="K71" s="50"/>
      <c r="L71" s="50"/>
      <c r="M71" s="49"/>
      <c r="N71" s="49"/>
      <c r="O71" s="50"/>
      <c r="P71" s="402"/>
      <c r="Q71" s="49"/>
      <c r="R71" s="15"/>
    </row>
    <row r="72" spans="1:18" ht="12.75">
      <c r="A72" s="50" t="s">
        <v>2208</v>
      </c>
      <c r="B72" s="402"/>
      <c r="C72" s="15" t="s">
        <v>3296</v>
      </c>
      <c r="D72" s="49" t="s">
        <v>3189</v>
      </c>
      <c r="E72" s="49" t="s">
        <v>3298</v>
      </c>
      <c r="F72" s="49" t="s">
        <v>3741</v>
      </c>
      <c r="G72" s="15"/>
      <c r="H72" s="49"/>
      <c r="I72" s="49"/>
      <c r="J72" s="49"/>
      <c r="K72" s="50"/>
      <c r="L72" s="50"/>
      <c r="M72" s="49"/>
      <c r="N72" s="49"/>
      <c r="O72" s="50"/>
      <c r="P72" s="402"/>
      <c r="Q72" s="49"/>
      <c r="R72" s="15"/>
    </row>
    <row r="73" spans="1:18" ht="12.75">
      <c r="A73" s="50" t="s">
        <v>2209</v>
      </c>
      <c r="B73" s="402"/>
      <c r="C73" s="15" t="s">
        <v>3686</v>
      </c>
      <c r="D73" s="49" t="s">
        <v>3189</v>
      </c>
      <c r="E73" s="49" t="s">
        <v>3683</v>
      </c>
      <c r="F73" s="229">
        <v>8352.1536</v>
      </c>
      <c r="G73" s="15"/>
      <c r="H73" s="49"/>
      <c r="I73" s="49"/>
      <c r="J73" s="49"/>
      <c r="K73" s="50"/>
      <c r="L73" s="50"/>
      <c r="M73" s="49"/>
      <c r="N73" s="49"/>
      <c r="O73" s="50"/>
      <c r="P73" s="402"/>
      <c r="Q73" s="49"/>
      <c r="R73" s="15"/>
    </row>
    <row r="74" spans="1:18" ht="12.75">
      <c r="A74" s="50" t="s">
        <v>2210</v>
      </c>
      <c r="B74" s="402"/>
      <c r="C74" s="15" t="s">
        <v>3753</v>
      </c>
      <c r="D74" s="49" t="s">
        <v>3189</v>
      </c>
      <c r="E74" s="49" t="s">
        <v>3755</v>
      </c>
      <c r="F74" s="229">
        <v>7623.0165</v>
      </c>
      <c r="G74" s="15"/>
      <c r="H74" s="49"/>
      <c r="I74" s="49"/>
      <c r="J74" s="49"/>
      <c r="K74" s="50"/>
      <c r="L74" s="50"/>
      <c r="M74" s="49"/>
      <c r="N74" s="49"/>
      <c r="O74" s="50"/>
      <c r="P74" s="402"/>
      <c r="Q74" s="49"/>
      <c r="R74" s="15"/>
    </row>
    <row r="75" spans="1:18" ht="12.75">
      <c r="A75" s="50"/>
      <c r="B75" s="402"/>
      <c r="C75" s="15"/>
      <c r="D75" s="49"/>
      <c r="E75" s="49"/>
      <c r="F75" s="49"/>
      <c r="G75" s="15"/>
      <c r="H75" s="49"/>
      <c r="I75" s="49"/>
      <c r="J75" s="49"/>
      <c r="K75" s="50"/>
      <c r="L75" s="50"/>
      <c r="M75" s="49"/>
      <c r="N75" s="49"/>
      <c r="O75" s="50"/>
      <c r="P75" s="402"/>
      <c r="Q75" s="49"/>
      <c r="R75" s="15"/>
    </row>
    <row r="76" spans="1:18" ht="12.75">
      <c r="A76" s="50"/>
      <c r="B76" s="402"/>
      <c r="C76" s="15"/>
      <c r="D76" s="49"/>
      <c r="E76" s="49"/>
      <c r="F76" s="49"/>
      <c r="G76" s="15"/>
      <c r="H76" s="49"/>
      <c r="I76" s="49"/>
      <c r="J76" s="49"/>
      <c r="K76" s="50"/>
      <c r="L76" s="50"/>
      <c r="M76" s="49"/>
      <c r="N76" s="49"/>
      <c r="O76" s="50"/>
      <c r="P76" s="402"/>
      <c r="Q76" s="49"/>
      <c r="R76" s="15"/>
    </row>
    <row r="77" spans="1:18" ht="13.5">
      <c r="A77" s="50"/>
      <c r="B77" s="402"/>
      <c r="C77" s="26" t="s">
        <v>373</v>
      </c>
      <c r="D77" s="181" t="s">
        <v>374</v>
      </c>
      <c r="E77" s="181" t="s">
        <v>3286</v>
      </c>
      <c r="F77" s="181" t="s">
        <v>377</v>
      </c>
      <c r="G77" s="15"/>
      <c r="H77" s="49"/>
      <c r="I77" s="49"/>
      <c r="J77" s="49"/>
      <c r="K77" s="50"/>
      <c r="L77" s="50"/>
      <c r="M77" s="49"/>
      <c r="N77" s="49"/>
      <c r="O77" s="50"/>
      <c r="P77" s="402"/>
      <c r="Q77" s="49"/>
      <c r="R77" s="15"/>
    </row>
    <row r="78" spans="1:18" ht="12.75">
      <c r="A78" s="50" t="s">
        <v>2208</v>
      </c>
      <c r="B78" s="402"/>
      <c r="C78" s="15" t="s">
        <v>3686</v>
      </c>
      <c r="D78" s="49" t="s">
        <v>3460</v>
      </c>
      <c r="E78" s="49" t="s">
        <v>3683</v>
      </c>
      <c r="F78" s="229">
        <v>8352.1536</v>
      </c>
      <c r="G78" s="15"/>
      <c r="H78" s="49"/>
      <c r="I78" s="49"/>
      <c r="J78" s="49"/>
      <c r="K78" s="50"/>
      <c r="L78" s="50"/>
      <c r="M78" s="49"/>
      <c r="N78" s="49"/>
      <c r="O78" s="50"/>
      <c r="P78" s="402"/>
      <c r="Q78" s="49"/>
      <c r="R78" s="15"/>
    </row>
    <row r="79" spans="1:18" ht="12.75">
      <c r="A79" s="50" t="s">
        <v>2209</v>
      </c>
      <c r="B79" s="402"/>
      <c r="C79" s="15" t="s">
        <v>2841</v>
      </c>
      <c r="D79" s="49" t="s">
        <v>3460</v>
      </c>
      <c r="E79" s="49" t="s">
        <v>726</v>
      </c>
      <c r="F79" s="229">
        <v>5924.1525</v>
      </c>
      <c r="G79" s="15"/>
      <c r="H79" s="49"/>
      <c r="I79" s="49"/>
      <c r="J79" s="49"/>
      <c r="K79" s="50"/>
      <c r="L79" s="50"/>
      <c r="M79" s="49"/>
      <c r="N79" s="49"/>
      <c r="O79" s="50"/>
      <c r="P79" s="402"/>
      <c r="Q79" s="49"/>
      <c r="R79" s="15"/>
    </row>
    <row r="80" spans="1:18" ht="12.75">
      <c r="A80" s="50" t="s">
        <v>2210</v>
      </c>
      <c r="B80" s="402"/>
      <c r="C80" s="15" t="s">
        <v>3700</v>
      </c>
      <c r="D80" s="49" t="s">
        <v>3459</v>
      </c>
      <c r="E80" s="49" t="s">
        <v>3702</v>
      </c>
      <c r="F80" s="229">
        <v>5204.4318</v>
      </c>
      <c r="G80" s="15"/>
      <c r="H80" s="49"/>
      <c r="I80" s="49"/>
      <c r="J80" s="49"/>
      <c r="K80" s="50"/>
      <c r="L80" s="50"/>
      <c r="M80" s="49"/>
      <c r="N80" s="49"/>
      <c r="O80" s="50"/>
      <c r="P80" s="402"/>
      <c r="Q80" s="49"/>
      <c r="R80" s="15"/>
    </row>
    <row r="81" spans="1:18" ht="12.75">
      <c r="A81" s="50"/>
      <c r="B81" s="402"/>
      <c r="C81" s="15"/>
      <c r="D81" s="15"/>
      <c r="E81" s="15"/>
      <c r="F81" s="15"/>
      <c r="G81" s="15"/>
      <c r="H81" s="49"/>
      <c r="I81" s="49"/>
      <c r="J81" s="49"/>
      <c r="K81" s="50"/>
      <c r="L81" s="50"/>
      <c r="M81" s="49"/>
      <c r="N81" s="49"/>
      <c r="O81" s="50"/>
      <c r="P81" s="402"/>
      <c r="Q81" s="49"/>
      <c r="R81" s="15"/>
    </row>
    <row r="82" spans="1:18" ht="12.75">
      <c r="A82" s="50"/>
      <c r="B82" s="402"/>
      <c r="C82" s="15"/>
      <c r="D82" s="15"/>
      <c r="E82" s="15"/>
      <c r="F82" s="15"/>
      <c r="G82" s="15"/>
      <c r="H82" s="49"/>
      <c r="I82" s="379"/>
      <c r="J82" s="49"/>
      <c r="K82" s="50"/>
      <c r="L82" s="50"/>
      <c r="M82" s="49"/>
      <c r="N82" s="49"/>
      <c r="O82" s="50"/>
      <c r="P82" s="402"/>
      <c r="Q82" s="49"/>
      <c r="R82" s="15"/>
    </row>
    <row r="83" spans="1:18" ht="12.75">
      <c r="A83" s="50"/>
      <c r="B83" s="402"/>
      <c r="C83" s="15"/>
      <c r="D83" s="15"/>
      <c r="E83" s="15"/>
      <c r="F83" s="15"/>
      <c r="G83" s="15"/>
      <c r="H83" s="49"/>
      <c r="I83" s="49"/>
      <c r="J83" s="49"/>
      <c r="K83" s="50"/>
      <c r="L83" s="50"/>
      <c r="M83" s="49"/>
      <c r="N83" s="49"/>
      <c r="O83" s="50"/>
      <c r="P83" s="402"/>
      <c r="Q83" s="49"/>
      <c r="R83" s="15"/>
    </row>
    <row r="84" spans="1:18" ht="12.75">
      <c r="A84" s="50"/>
      <c r="B84" s="402"/>
      <c r="C84" s="15"/>
      <c r="D84" s="15"/>
      <c r="E84" s="15"/>
      <c r="F84" s="15"/>
      <c r="G84" s="15"/>
      <c r="H84" s="49"/>
      <c r="I84" s="49"/>
      <c r="J84" s="49"/>
      <c r="K84" s="50"/>
      <c r="L84" s="50"/>
      <c r="M84" s="49"/>
      <c r="N84" s="49"/>
      <c r="O84" s="50"/>
      <c r="P84" s="402"/>
      <c r="Q84" s="49"/>
      <c r="R84" s="15"/>
    </row>
    <row r="85" spans="1:18" ht="12.75">
      <c r="A85" s="50"/>
      <c r="B85" s="402"/>
      <c r="C85" s="15"/>
      <c r="D85" s="15"/>
      <c r="E85" s="15"/>
      <c r="F85" s="15"/>
      <c r="G85" s="15"/>
      <c r="H85" s="49"/>
      <c r="I85" s="49"/>
      <c r="J85" s="49"/>
      <c r="K85" s="50"/>
      <c r="L85" s="50"/>
      <c r="M85" s="49"/>
      <c r="N85" s="49"/>
      <c r="O85" s="50"/>
      <c r="P85" s="402"/>
      <c r="Q85" s="49"/>
      <c r="R85" s="15"/>
    </row>
    <row r="86" spans="1:18" ht="12.75">
      <c r="A86" s="50"/>
      <c r="B86" s="402"/>
      <c r="C86" s="15"/>
      <c r="D86" s="15"/>
      <c r="E86" s="15"/>
      <c r="F86" s="15"/>
      <c r="G86" s="15"/>
      <c r="H86" s="49"/>
      <c r="I86" s="49"/>
      <c r="J86" s="49"/>
      <c r="K86" s="50"/>
      <c r="L86" s="50"/>
      <c r="M86" s="49"/>
      <c r="N86" s="49"/>
      <c r="O86" s="50"/>
      <c r="P86" s="402"/>
      <c r="Q86" s="49"/>
      <c r="R86" s="15"/>
    </row>
    <row r="87" spans="1:18" ht="12.75">
      <c r="A87" s="50"/>
      <c r="B87" s="402"/>
      <c r="C87" s="15"/>
      <c r="D87" s="15"/>
      <c r="E87" s="15"/>
      <c r="F87" s="15"/>
      <c r="G87" s="15"/>
      <c r="H87" s="49"/>
      <c r="I87" s="49"/>
      <c r="J87" s="49"/>
      <c r="K87" s="50"/>
      <c r="L87" s="50"/>
      <c r="M87" s="49"/>
      <c r="N87" s="49"/>
      <c r="O87" s="50"/>
      <c r="P87" s="402"/>
      <c r="Q87" s="49"/>
      <c r="R87" s="15"/>
    </row>
    <row r="88" spans="1:18" ht="12.75">
      <c r="A88" s="50"/>
      <c r="B88" s="402"/>
      <c r="C88" s="15"/>
      <c r="D88" s="15"/>
      <c r="E88" s="15"/>
      <c r="F88" s="15"/>
      <c r="G88" s="15"/>
      <c r="H88" s="49"/>
      <c r="I88" s="49"/>
      <c r="J88" s="49"/>
      <c r="K88" s="50"/>
      <c r="L88" s="50"/>
      <c r="M88" s="49"/>
      <c r="N88" s="49"/>
      <c r="O88" s="50"/>
      <c r="P88" s="402"/>
      <c r="Q88" s="49"/>
      <c r="R88" s="15"/>
    </row>
  </sheetData>
  <sheetProtection/>
  <mergeCells count="27">
    <mergeCell ref="C31:Q31"/>
    <mergeCell ref="C6:Q6"/>
    <mergeCell ref="C37:Q37"/>
    <mergeCell ref="C42:Q42"/>
    <mergeCell ref="C48:Q48"/>
    <mergeCell ref="C52:Q52"/>
    <mergeCell ref="C9:Q9"/>
    <mergeCell ref="C12:Q12"/>
    <mergeCell ref="C17:Q17"/>
    <mergeCell ref="C21:Q21"/>
    <mergeCell ref="C24:Q24"/>
    <mergeCell ref="L3:L4"/>
    <mergeCell ref="M3:N3"/>
    <mergeCell ref="O3:O4"/>
    <mergeCell ref="P3:P4"/>
    <mergeCell ref="Q3:Q4"/>
    <mergeCell ref="K3:K4"/>
    <mergeCell ref="R3:R4"/>
    <mergeCell ref="B3:B4"/>
    <mergeCell ref="C1:R1"/>
    <mergeCell ref="C2:R2"/>
    <mergeCell ref="A3:A4"/>
    <mergeCell ref="C3:C4"/>
    <mergeCell ref="E3:E4"/>
    <mergeCell ref="F3:F4"/>
    <mergeCell ref="G3:G4"/>
    <mergeCell ref="H3:J3"/>
  </mergeCells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F18" sqref="F18"/>
    </sheetView>
  </sheetViews>
  <sheetFormatPr defaultColWidth="11.375" defaultRowHeight="12.75"/>
  <cols>
    <col min="1" max="1" width="7.875" style="0" customWidth="1"/>
    <col min="2" max="2" width="11.375" style="409" customWidth="1"/>
    <col min="3" max="3" width="30.25390625" style="0" customWidth="1"/>
    <col min="4" max="4" width="23.00390625" style="0" customWidth="1"/>
    <col min="5" max="5" width="15.75390625" style="0" customWidth="1"/>
    <col min="6" max="6" width="11.25390625" style="0" customWidth="1"/>
    <col min="7" max="7" width="23.875" style="0" customWidth="1"/>
    <col min="8" max="9" width="11.375" style="0" customWidth="1"/>
    <col min="10" max="10" width="8.75390625" style="0" customWidth="1"/>
    <col min="11" max="11" width="11.375" style="0" customWidth="1"/>
    <col min="12" max="12" width="16.75390625" style="0" customWidth="1"/>
  </cols>
  <sheetData>
    <row r="1" spans="1:13" ht="57.75" customHeight="1">
      <c r="A1" s="104"/>
      <c r="B1" s="433"/>
      <c r="C1" s="509" t="s">
        <v>3566</v>
      </c>
      <c r="D1" s="509"/>
      <c r="E1" s="509"/>
      <c r="F1" s="509"/>
      <c r="G1" s="509"/>
      <c r="H1" s="509"/>
      <c r="I1" s="509"/>
      <c r="J1" s="509"/>
      <c r="K1" s="509"/>
      <c r="L1" s="509"/>
      <c r="M1" s="49"/>
    </row>
    <row r="2" spans="1:13" ht="30" thickBot="1">
      <c r="A2" s="104"/>
      <c r="B2" s="433"/>
      <c r="C2" s="509" t="s">
        <v>3283</v>
      </c>
      <c r="D2" s="509"/>
      <c r="E2" s="509"/>
      <c r="F2" s="509"/>
      <c r="G2" s="509"/>
      <c r="H2" s="509"/>
      <c r="I2" s="509"/>
      <c r="J2" s="509"/>
      <c r="K2" s="509"/>
      <c r="L2" s="509"/>
      <c r="M2" s="49"/>
    </row>
    <row r="3" spans="1:13" ht="13.5">
      <c r="A3" s="512" t="s">
        <v>1627</v>
      </c>
      <c r="B3" s="516" t="s">
        <v>4516</v>
      </c>
      <c r="C3" s="514" t="s">
        <v>0</v>
      </c>
      <c r="D3" s="454" t="s">
        <v>3284</v>
      </c>
      <c r="E3" s="514" t="s">
        <v>3286</v>
      </c>
      <c r="F3" s="514" t="s">
        <v>7</v>
      </c>
      <c r="G3" s="514" t="s">
        <v>3287</v>
      </c>
      <c r="H3" s="514" t="s">
        <v>3288</v>
      </c>
      <c r="I3" s="514"/>
      <c r="J3" s="514" t="s">
        <v>2603</v>
      </c>
      <c r="K3" s="514" t="s">
        <v>6</v>
      </c>
      <c r="L3" s="510" t="s">
        <v>5</v>
      </c>
      <c r="M3" s="184"/>
    </row>
    <row r="4" spans="1:13" ht="15" thickBot="1">
      <c r="A4" s="513"/>
      <c r="B4" s="517"/>
      <c r="C4" s="515"/>
      <c r="D4" s="455" t="s">
        <v>3285</v>
      </c>
      <c r="E4" s="515"/>
      <c r="F4" s="515"/>
      <c r="G4" s="515"/>
      <c r="H4" s="457" t="s">
        <v>2604</v>
      </c>
      <c r="I4" s="457" t="s">
        <v>3289</v>
      </c>
      <c r="J4" s="515"/>
      <c r="K4" s="515"/>
      <c r="L4" s="511"/>
      <c r="M4" s="184"/>
    </row>
    <row r="5" spans="1:13" ht="15.75">
      <c r="A5" s="326"/>
      <c r="B5" s="437"/>
      <c r="C5" s="526" t="s">
        <v>80</v>
      </c>
      <c r="D5" s="526"/>
      <c r="E5" s="526"/>
      <c r="F5" s="526"/>
      <c r="G5" s="526"/>
      <c r="H5" s="526"/>
      <c r="I5" s="526"/>
      <c r="J5" s="526"/>
      <c r="K5" s="526"/>
      <c r="L5" s="326"/>
      <c r="M5" s="184"/>
    </row>
    <row r="6" spans="1:12" ht="12.75">
      <c r="A6" s="399" t="s">
        <v>2208</v>
      </c>
      <c r="B6" s="399" t="s">
        <v>3489</v>
      </c>
      <c r="C6" s="20" t="s">
        <v>3765</v>
      </c>
      <c r="D6" s="20" t="s">
        <v>1132</v>
      </c>
      <c r="E6" s="20" t="s">
        <v>515</v>
      </c>
      <c r="F6" s="20" t="s">
        <v>125</v>
      </c>
      <c r="G6" s="20" t="s">
        <v>1643</v>
      </c>
      <c r="H6" s="379" t="s">
        <v>3190</v>
      </c>
      <c r="I6" s="379" t="s">
        <v>2214</v>
      </c>
      <c r="J6" s="492" t="s">
        <v>3656</v>
      </c>
      <c r="K6" s="379" t="s">
        <v>3657</v>
      </c>
      <c r="L6" s="20" t="s">
        <v>1906</v>
      </c>
    </row>
    <row r="7" spans="1:13" ht="13.5">
      <c r="A7" s="184"/>
      <c r="B7" s="302"/>
      <c r="C7" s="184"/>
      <c r="D7" s="184"/>
      <c r="E7" s="184"/>
      <c r="F7" s="184"/>
      <c r="G7" s="184"/>
      <c r="H7" s="270"/>
      <c r="I7" s="270"/>
      <c r="J7" s="184"/>
      <c r="K7" s="184"/>
      <c r="L7" s="184"/>
      <c r="M7" s="184"/>
    </row>
    <row r="8" spans="1:12" ht="15.75">
      <c r="A8" s="282"/>
      <c r="B8" s="432"/>
      <c r="C8" s="526" t="s">
        <v>2977</v>
      </c>
      <c r="D8" s="526"/>
      <c r="E8" s="526"/>
      <c r="F8" s="526"/>
      <c r="G8" s="526"/>
      <c r="H8" s="526"/>
      <c r="I8" s="526"/>
      <c r="J8" s="526"/>
      <c r="K8" s="526"/>
      <c r="L8" s="15"/>
    </row>
    <row r="9" spans="1:12" ht="12.75">
      <c r="A9" s="82" t="s">
        <v>2208</v>
      </c>
      <c r="B9" s="399" t="s">
        <v>2708</v>
      </c>
      <c r="C9" s="17" t="s">
        <v>3795</v>
      </c>
      <c r="D9" s="88" t="s">
        <v>3600</v>
      </c>
      <c r="E9" s="84" t="s">
        <v>115</v>
      </c>
      <c r="F9" s="17" t="s">
        <v>125</v>
      </c>
      <c r="G9" s="84" t="s">
        <v>1643</v>
      </c>
      <c r="H9" s="359">
        <v>80</v>
      </c>
      <c r="I9" s="354">
        <v>20</v>
      </c>
      <c r="J9" s="264" t="s">
        <v>2953</v>
      </c>
      <c r="K9" s="354">
        <v>1719.344</v>
      </c>
      <c r="L9" s="17" t="s">
        <v>1906</v>
      </c>
    </row>
    <row r="10" spans="1:12" ht="12.75">
      <c r="A10" s="82" t="s">
        <v>2208</v>
      </c>
      <c r="B10" s="399" t="s">
        <v>2708</v>
      </c>
      <c r="C10" s="19" t="s">
        <v>3795</v>
      </c>
      <c r="D10" s="95" t="s">
        <v>3599</v>
      </c>
      <c r="E10" s="98" t="s">
        <v>115</v>
      </c>
      <c r="F10" s="19" t="s">
        <v>125</v>
      </c>
      <c r="G10" s="98" t="s">
        <v>1643</v>
      </c>
      <c r="H10" s="370">
        <v>80</v>
      </c>
      <c r="I10" s="358">
        <v>20</v>
      </c>
      <c r="J10" s="265" t="s">
        <v>2953</v>
      </c>
      <c r="K10" s="358">
        <v>1719.344</v>
      </c>
      <c r="L10" s="19" t="s">
        <v>1906</v>
      </c>
    </row>
    <row r="11" spans="1:12" ht="12.75">
      <c r="A11" s="82"/>
      <c r="B11" s="399"/>
      <c r="C11" s="15"/>
      <c r="D11" s="15"/>
      <c r="E11" s="15"/>
      <c r="F11" s="15"/>
      <c r="G11" s="15"/>
      <c r="H11" s="49"/>
      <c r="I11" s="49"/>
      <c r="J11" s="50"/>
      <c r="K11" s="49"/>
      <c r="L11" s="15"/>
    </row>
    <row r="12" spans="1:12" ht="15.75">
      <c r="A12" s="282"/>
      <c r="B12" s="432"/>
      <c r="C12" s="508" t="s">
        <v>59</v>
      </c>
      <c r="D12" s="508"/>
      <c r="E12" s="508"/>
      <c r="F12" s="508"/>
      <c r="G12" s="508"/>
      <c r="H12" s="508"/>
      <c r="I12" s="508"/>
      <c r="J12" s="508"/>
      <c r="K12" s="508"/>
      <c r="L12" s="15"/>
    </row>
    <row r="13" spans="1:12" ht="12.75">
      <c r="A13" s="82" t="s">
        <v>2208</v>
      </c>
      <c r="B13" s="399" t="s">
        <v>3526</v>
      </c>
      <c r="C13" s="20" t="s">
        <v>3796</v>
      </c>
      <c r="D13" s="210" t="s">
        <v>3348</v>
      </c>
      <c r="E13" s="210" t="s">
        <v>3349</v>
      </c>
      <c r="F13" s="210" t="s">
        <v>3567</v>
      </c>
      <c r="G13" s="210" t="s">
        <v>3350</v>
      </c>
      <c r="H13" s="271" t="s">
        <v>2186</v>
      </c>
      <c r="I13" s="271" t="s">
        <v>2681</v>
      </c>
      <c r="J13" s="271" t="s">
        <v>3568</v>
      </c>
      <c r="K13" s="271" t="s">
        <v>3569</v>
      </c>
      <c r="L13" s="210" t="s">
        <v>1906</v>
      </c>
    </row>
    <row r="14" spans="1:12" ht="12.75">
      <c r="A14" s="82"/>
      <c r="B14" s="399"/>
      <c r="C14" s="15"/>
      <c r="D14" s="15"/>
      <c r="E14" s="15"/>
      <c r="F14" s="15"/>
      <c r="G14" s="15"/>
      <c r="H14" s="49"/>
      <c r="I14" s="49"/>
      <c r="J14" s="50"/>
      <c r="K14" s="49"/>
      <c r="L14" s="15"/>
    </row>
    <row r="15" spans="1:12" ht="15.75">
      <c r="A15" s="282"/>
      <c r="B15" s="432"/>
      <c r="C15" s="526" t="s">
        <v>164</v>
      </c>
      <c r="D15" s="526"/>
      <c r="E15" s="526"/>
      <c r="F15" s="526"/>
      <c r="G15" s="526"/>
      <c r="H15" s="526"/>
      <c r="I15" s="526"/>
      <c r="J15" s="526"/>
      <c r="K15" s="526"/>
      <c r="L15" s="15"/>
    </row>
    <row r="16" spans="1:12" ht="12.75">
      <c r="A16" s="82" t="s">
        <v>2208</v>
      </c>
      <c r="B16" s="399" t="s">
        <v>3526</v>
      </c>
      <c r="C16" s="83" t="s">
        <v>3797</v>
      </c>
      <c r="D16" s="17" t="s">
        <v>3570</v>
      </c>
      <c r="E16" s="84" t="s">
        <v>798</v>
      </c>
      <c r="F16" s="17" t="s">
        <v>130</v>
      </c>
      <c r="G16" s="84" t="s">
        <v>2469</v>
      </c>
      <c r="H16" s="264" t="s">
        <v>2129</v>
      </c>
      <c r="I16" s="280" t="s">
        <v>2614</v>
      </c>
      <c r="J16" s="264" t="s">
        <v>3571</v>
      </c>
      <c r="K16" s="280" t="s">
        <v>3572</v>
      </c>
      <c r="L16" s="17" t="s">
        <v>51</v>
      </c>
    </row>
    <row r="17" spans="1:12" ht="12.75">
      <c r="A17" s="82" t="s">
        <v>2208</v>
      </c>
      <c r="B17" s="399"/>
      <c r="C17" s="94" t="s">
        <v>3798</v>
      </c>
      <c r="D17" s="19" t="s">
        <v>3574</v>
      </c>
      <c r="E17" s="98" t="s">
        <v>3575</v>
      </c>
      <c r="F17" s="19" t="s">
        <v>31</v>
      </c>
      <c r="G17" s="98" t="s">
        <v>1330</v>
      </c>
      <c r="H17" s="265" t="s">
        <v>2129</v>
      </c>
      <c r="I17" s="281" t="s">
        <v>3506</v>
      </c>
      <c r="J17" s="265" t="s">
        <v>2949</v>
      </c>
      <c r="K17" s="281" t="s">
        <v>3576</v>
      </c>
      <c r="L17" s="19" t="s">
        <v>1914</v>
      </c>
    </row>
    <row r="18" spans="1:12" ht="12.75">
      <c r="A18" s="82"/>
      <c r="B18" s="399"/>
      <c r="C18" s="15"/>
      <c r="D18" s="15"/>
      <c r="E18" s="15"/>
      <c r="F18" s="15"/>
      <c r="G18" s="15"/>
      <c r="H18" s="49"/>
      <c r="I18" s="49"/>
      <c r="J18" s="50"/>
      <c r="K18" s="49"/>
      <c r="L18" s="15"/>
    </row>
    <row r="19" spans="1:12" ht="15.75">
      <c r="A19" s="282"/>
      <c r="B19" s="432"/>
      <c r="C19" s="508" t="s">
        <v>227</v>
      </c>
      <c r="D19" s="508"/>
      <c r="E19" s="508"/>
      <c r="F19" s="508"/>
      <c r="G19" s="508"/>
      <c r="H19" s="508"/>
      <c r="I19" s="508"/>
      <c r="J19" s="508"/>
      <c r="K19" s="508"/>
      <c r="L19" s="15"/>
    </row>
    <row r="20" spans="1:12" ht="12.75">
      <c r="A20" s="82" t="s">
        <v>2208</v>
      </c>
      <c r="B20" s="399"/>
      <c r="C20" s="20" t="s">
        <v>3799</v>
      </c>
      <c r="D20" s="210" t="s">
        <v>3577</v>
      </c>
      <c r="E20" s="210" t="s">
        <v>3578</v>
      </c>
      <c r="F20" s="210" t="s">
        <v>31</v>
      </c>
      <c r="G20" s="210"/>
      <c r="H20" s="271" t="s">
        <v>3337</v>
      </c>
      <c r="I20" s="271" t="s">
        <v>2614</v>
      </c>
      <c r="J20" s="271" t="s">
        <v>3579</v>
      </c>
      <c r="K20" s="271" t="s">
        <v>3580</v>
      </c>
      <c r="L20" s="210" t="s">
        <v>1906</v>
      </c>
    </row>
    <row r="21" spans="1:12" ht="12.75">
      <c r="A21" s="82"/>
      <c r="B21" s="399"/>
      <c r="C21" s="15"/>
      <c r="D21" s="15"/>
      <c r="E21" s="15"/>
      <c r="F21" s="15"/>
      <c r="G21" s="15"/>
      <c r="H21" s="49"/>
      <c r="I21" s="49"/>
      <c r="J21" s="50"/>
      <c r="K21" s="49"/>
      <c r="L21" s="15"/>
    </row>
    <row r="22" spans="1:12" ht="15.75">
      <c r="A22" s="282"/>
      <c r="B22" s="432"/>
      <c r="C22" s="526" t="s">
        <v>3319</v>
      </c>
      <c r="D22" s="526"/>
      <c r="E22" s="526"/>
      <c r="F22" s="526"/>
      <c r="G22" s="526"/>
      <c r="H22" s="526"/>
      <c r="I22" s="526"/>
      <c r="J22" s="526"/>
      <c r="K22" s="526"/>
      <c r="L22" s="15"/>
    </row>
    <row r="23" spans="1:12" ht="12.75">
      <c r="A23" s="82" t="s">
        <v>2208</v>
      </c>
      <c r="B23" s="399" t="s">
        <v>3526</v>
      </c>
      <c r="C23" s="17" t="s">
        <v>3800</v>
      </c>
      <c r="D23" s="88" t="s">
        <v>3581</v>
      </c>
      <c r="E23" s="84" t="s">
        <v>336</v>
      </c>
      <c r="F23" s="17" t="s">
        <v>125</v>
      </c>
      <c r="G23" s="84" t="s">
        <v>1643</v>
      </c>
      <c r="H23" s="264" t="s">
        <v>3582</v>
      </c>
      <c r="I23" s="280" t="s">
        <v>3563</v>
      </c>
      <c r="J23" s="264" t="s">
        <v>2941</v>
      </c>
      <c r="K23" s="280" t="s">
        <v>3583</v>
      </c>
      <c r="L23" s="17" t="s">
        <v>1906</v>
      </c>
    </row>
    <row r="24" spans="1:12" ht="12.75">
      <c r="A24" s="82" t="s">
        <v>2208</v>
      </c>
      <c r="B24" s="399" t="s">
        <v>3526</v>
      </c>
      <c r="C24" s="19" t="s">
        <v>3800</v>
      </c>
      <c r="D24" s="95" t="s">
        <v>3419</v>
      </c>
      <c r="E24" s="98" t="s">
        <v>336</v>
      </c>
      <c r="F24" s="19" t="s">
        <v>125</v>
      </c>
      <c r="G24" s="98" t="s">
        <v>1643</v>
      </c>
      <c r="H24" s="265" t="s">
        <v>3582</v>
      </c>
      <c r="I24" s="281" t="s">
        <v>3563</v>
      </c>
      <c r="J24" s="265" t="s">
        <v>2941</v>
      </c>
      <c r="K24" s="281" t="s">
        <v>3583</v>
      </c>
      <c r="L24" s="19" t="s">
        <v>1906</v>
      </c>
    </row>
    <row r="25" spans="1:12" ht="12.75">
      <c r="A25" s="82"/>
      <c r="B25" s="399"/>
      <c r="C25" s="15"/>
      <c r="D25" s="15"/>
      <c r="E25" s="15"/>
      <c r="F25" s="15"/>
      <c r="G25" s="15"/>
      <c r="H25" s="49"/>
      <c r="I25" s="49"/>
      <c r="J25" s="50"/>
      <c r="K25" s="49"/>
      <c r="L25" s="15"/>
    </row>
    <row r="26" spans="1:12" ht="18">
      <c r="A26" s="50"/>
      <c r="B26" s="402"/>
      <c r="C26" s="16" t="s">
        <v>370</v>
      </c>
      <c r="D26" s="16"/>
      <c r="E26" s="15"/>
      <c r="F26" s="15"/>
      <c r="G26" s="15"/>
      <c r="H26" s="49"/>
      <c r="I26" s="49"/>
      <c r="J26" s="50"/>
      <c r="K26" s="49"/>
      <c r="L26" s="15"/>
    </row>
    <row r="27" spans="1:12" ht="18">
      <c r="A27" s="50"/>
      <c r="B27" s="402"/>
      <c r="C27" s="272" t="s">
        <v>3323</v>
      </c>
      <c r="D27" s="15"/>
      <c r="E27" s="15"/>
      <c r="F27" s="15"/>
      <c r="G27" s="15"/>
      <c r="H27" s="49"/>
      <c r="I27" s="49"/>
      <c r="J27" s="50"/>
      <c r="K27" s="49"/>
      <c r="L27" s="15"/>
    </row>
    <row r="28" spans="1:12" ht="12.75">
      <c r="A28" s="50"/>
      <c r="B28" s="402"/>
      <c r="C28" s="15"/>
      <c r="D28" s="15"/>
      <c r="E28" s="15"/>
      <c r="F28" s="15"/>
      <c r="G28" s="15"/>
      <c r="H28" s="49"/>
      <c r="I28" s="49"/>
      <c r="J28" s="50"/>
      <c r="K28" s="49"/>
      <c r="L28" s="15"/>
    </row>
    <row r="29" spans="1:12" ht="13.5">
      <c r="A29" s="50"/>
      <c r="B29" s="402"/>
      <c r="C29" s="26" t="s">
        <v>373</v>
      </c>
      <c r="D29" s="181" t="s">
        <v>374</v>
      </c>
      <c r="E29" s="181" t="s">
        <v>3286</v>
      </c>
      <c r="F29" s="181" t="s">
        <v>377</v>
      </c>
      <c r="G29" s="15"/>
      <c r="H29" s="49"/>
      <c r="I29" s="49"/>
      <c r="J29" s="50"/>
      <c r="K29" s="49"/>
      <c r="L29" s="15"/>
    </row>
    <row r="30" spans="1:12" ht="12.75">
      <c r="A30" s="50" t="s">
        <v>2208</v>
      </c>
      <c r="B30" s="402"/>
      <c r="C30" s="15" t="s">
        <v>3573</v>
      </c>
      <c r="D30" s="49" t="s">
        <v>3189</v>
      </c>
      <c r="E30" s="49" t="s">
        <v>3575</v>
      </c>
      <c r="F30" s="49" t="s">
        <v>3576</v>
      </c>
      <c r="G30" s="15"/>
      <c r="H30" s="49"/>
      <c r="I30" s="49"/>
      <c r="J30" s="50"/>
      <c r="K30" s="49"/>
      <c r="L30" s="15"/>
    </row>
    <row r="31" spans="1:12" ht="12.75">
      <c r="A31" s="50" t="s">
        <v>2209</v>
      </c>
      <c r="B31" s="402"/>
      <c r="C31" s="15" t="s">
        <v>3347</v>
      </c>
      <c r="D31" s="49" t="s">
        <v>3189</v>
      </c>
      <c r="E31" s="49" t="s">
        <v>3349</v>
      </c>
      <c r="F31" s="49" t="s">
        <v>3569</v>
      </c>
      <c r="G31" s="15"/>
      <c r="H31" s="49"/>
      <c r="I31" s="49"/>
      <c r="J31" s="50"/>
      <c r="K31" s="49"/>
      <c r="L31" s="15"/>
    </row>
    <row r="32" spans="1:12" ht="12.75">
      <c r="A32" s="50" t="s">
        <v>2210</v>
      </c>
      <c r="B32" s="402"/>
      <c r="C32" s="15" t="s">
        <v>3418</v>
      </c>
      <c r="D32" s="49" t="s">
        <v>3189</v>
      </c>
      <c r="E32" s="49" t="s">
        <v>336</v>
      </c>
      <c r="F32" s="49" t="s">
        <v>3583</v>
      </c>
      <c r="G32" s="15"/>
      <c r="H32" s="49"/>
      <c r="I32" s="49"/>
      <c r="J32" s="50"/>
      <c r="K32" s="49"/>
      <c r="L32" s="15"/>
    </row>
    <row r="33" spans="1:12" ht="12.75">
      <c r="A33" s="50"/>
      <c r="B33" s="402"/>
      <c r="C33" s="15"/>
      <c r="D33" s="15"/>
      <c r="E33" s="15"/>
      <c r="F33" s="15"/>
      <c r="G33" s="15"/>
      <c r="H33" s="49"/>
      <c r="I33" s="49"/>
      <c r="J33" s="50"/>
      <c r="K33" s="49"/>
      <c r="L33" s="15"/>
    </row>
    <row r="34" spans="1:12" ht="12.75">
      <c r="A34" s="50"/>
      <c r="B34" s="402"/>
      <c r="C34" s="15"/>
      <c r="D34" s="15"/>
      <c r="E34" s="15"/>
      <c r="F34" s="15"/>
      <c r="G34" s="15"/>
      <c r="H34" s="49"/>
      <c r="I34" s="49"/>
      <c r="J34" s="50"/>
      <c r="K34" s="49"/>
      <c r="L34" s="15"/>
    </row>
    <row r="35" spans="1:12" ht="12.75">
      <c r="A35" s="50"/>
      <c r="B35" s="402"/>
      <c r="C35" s="15"/>
      <c r="D35" s="15"/>
      <c r="E35" s="15"/>
      <c r="F35" s="15"/>
      <c r="G35" s="15"/>
      <c r="H35" s="49"/>
      <c r="I35" s="49"/>
      <c r="J35" s="50"/>
      <c r="K35" s="49"/>
      <c r="L35" s="15"/>
    </row>
    <row r="36" spans="1:12" ht="12.75">
      <c r="A36" s="50"/>
      <c r="B36" s="402"/>
      <c r="C36" s="15"/>
      <c r="D36" s="15"/>
      <c r="E36" s="15"/>
      <c r="F36" s="15"/>
      <c r="G36" s="15"/>
      <c r="H36" s="49"/>
      <c r="I36" s="49"/>
      <c r="J36" s="50"/>
      <c r="K36" s="49"/>
      <c r="L36" s="15"/>
    </row>
  </sheetData>
  <sheetProtection/>
  <mergeCells count="18">
    <mergeCell ref="C22:K22"/>
    <mergeCell ref="C1:L1"/>
    <mergeCell ref="C2:L2"/>
    <mergeCell ref="A3:A4"/>
    <mergeCell ref="C3:C4"/>
    <mergeCell ref="E3:E4"/>
    <mergeCell ref="F3:F4"/>
    <mergeCell ref="G3:G4"/>
    <mergeCell ref="H3:I3"/>
    <mergeCell ref="J3:J4"/>
    <mergeCell ref="B3:B4"/>
    <mergeCell ref="L3:L4"/>
    <mergeCell ref="C8:K8"/>
    <mergeCell ref="C12:K12"/>
    <mergeCell ref="C15:K15"/>
    <mergeCell ref="C19:K19"/>
    <mergeCell ref="K3:K4"/>
    <mergeCell ref="C5:K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O13" sqref="O13"/>
    </sheetView>
  </sheetViews>
  <sheetFormatPr defaultColWidth="11.375" defaultRowHeight="12.75"/>
  <cols>
    <col min="1" max="1" width="8.125" style="0" customWidth="1"/>
    <col min="2" max="2" width="12.375" style="409" customWidth="1"/>
    <col min="3" max="3" width="27.625" style="0" customWidth="1"/>
    <col min="4" max="4" width="23.625" style="0" customWidth="1"/>
    <col min="5" max="5" width="21.25390625" style="0" customWidth="1"/>
    <col min="6" max="6" width="13.00390625" style="0" customWidth="1"/>
    <col min="7" max="7" width="33.00390625" style="0" customWidth="1"/>
    <col min="8" max="10" width="5.75390625" style="0" customWidth="1"/>
    <col min="11" max="11" width="9.375" style="0" customWidth="1"/>
    <col min="12" max="12" width="9.75390625" style="0" customWidth="1"/>
    <col min="13" max="13" width="15.125" style="0" customWidth="1"/>
  </cols>
  <sheetData>
    <row r="1" spans="1:13" ht="57.75" customHeight="1">
      <c r="A1" s="104"/>
      <c r="B1" s="433"/>
      <c r="C1" s="509" t="s">
        <v>3584</v>
      </c>
      <c r="D1" s="509"/>
      <c r="E1" s="509"/>
      <c r="F1" s="509"/>
      <c r="G1" s="509"/>
      <c r="H1" s="509"/>
      <c r="I1" s="509"/>
      <c r="J1" s="509"/>
      <c r="K1" s="509"/>
      <c r="L1" s="509"/>
      <c r="M1" s="509"/>
    </row>
    <row r="2" spans="1:13" ht="34.5" customHeight="1" thickBot="1">
      <c r="A2" s="104"/>
      <c r="B2" s="433"/>
      <c r="C2" s="509" t="s">
        <v>3283</v>
      </c>
      <c r="D2" s="509"/>
      <c r="E2" s="509"/>
      <c r="F2" s="509"/>
      <c r="G2" s="509"/>
      <c r="H2" s="509"/>
      <c r="I2" s="509"/>
      <c r="J2" s="509"/>
      <c r="K2" s="509"/>
      <c r="L2" s="509"/>
      <c r="M2" s="509"/>
    </row>
    <row r="3" spans="1:13" ht="13.5" customHeight="1">
      <c r="A3" s="512" t="s">
        <v>1627</v>
      </c>
      <c r="B3" s="504" t="s">
        <v>4516</v>
      </c>
      <c r="C3" s="514" t="s">
        <v>0</v>
      </c>
      <c r="D3" s="454" t="s">
        <v>3284</v>
      </c>
      <c r="E3" s="514" t="s">
        <v>3286</v>
      </c>
      <c r="F3" s="514" t="s">
        <v>7</v>
      </c>
      <c r="G3" s="514" t="s">
        <v>3287</v>
      </c>
      <c r="H3" s="514" t="s">
        <v>2</v>
      </c>
      <c r="I3" s="514"/>
      <c r="J3" s="514"/>
      <c r="K3" s="514" t="s">
        <v>1672</v>
      </c>
      <c r="L3" s="514" t="s">
        <v>6</v>
      </c>
      <c r="M3" s="510" t="s">
        <v>5</v>
      </c>
    </row>
    <row r="4" spans="1:13" ht="15" thickBot="1">
      <c r="A4" s="513"/>
      <c r="B4" s="505"/>
      <c r="C4" s="515"/>
      <c r="D4" s="455" t="s">
        <v>3285</v>
      </c>
      <c r="E4" s="515"/>
      <c r="F4" s="515"/>
      <c r="G4" s="515"/>
      <c r="H4" s="457" t="s">
        <v>2208</v>
      </c>
      <c r="I4" s="457" t="s">
        <v>2209</v>
      </c>
      <c r="J4" s="457" t="s">
        <v>2210</v>
      </c>
      <c r="K4" s="515"/>
      <c r="L4" s="515"/>
      <c r="M4" s="511"/>
    </row>
    <row r="5" spans="1:13" ht="15.75">
      <c r="A5" s="326"/>
      <c r="B5" s="437"/>
      <c r="C5" s="526" t="s">
        <v>80</v>
      </c>
      <c r="D5" s="526"/>
      <c r="E5" s="526"/>
      <c r="F5" s="526"/>
      <c r="G5" s="526"/>
      <c r="H5" s="526"/>
      <c r="I5" s="526"/>
      <c r="J5" s="526"/>
      <c r="K5" s="526"/>
      <c r="L5" s="526"/>
      <c r="M5" s="326"/>
    </row>
    <row r="6" spans="1:13" ht="13.5">
      <c r="A6" s="326" t="s">
        <v>2208</v>
      </c>
      <c r="B6" s="493" t="s">
        <v>3489</v>
      </c>
      <c r="C6" s="20" t="s">
        <v>3765</v>
      </c>
      <c r="D6" s="20" t="s">
        <v>1132</v>
      </c>
      <c r="E6" s="20" t="s">
        <v>515</v>
      </c>
      <c r="F6" s="20" t="s">
        <v>125</v>
      </c>
      <c r="G6" s="20" t="s">
        <v>1643</v>
      </c>
      <c r="H6" s="491">
        <v>62.5</v>
      </c>
      <c r="I6" s="491">
        <v>67.5</v>
      </c>
      <c r="J6" s="316" t="s">
        <v>56</v>
      </c>
      <c r="K6" s="33" t="s">
        <v>55</v>
      </c>
      <c r="L6" s="494" t="s">
        <v>4717</v>
      </c>
      <c r="M6" s="20" t="s">
        <v>51</v>
      </c>
    </row>
    <row r="7" spans="1:13" ht="12.75">
      <c r="A7" s="50"/>
      <c r="B7" s="402"/>
      <c r="C7" s="15"/>
      <c r="D7" s="15"/>
      <c r="E7" s="15"/>
      <c r="F7" s="15"/>
      <c r="G7" s="15"/>
      <c r="H7" s="49"/>
      <c r="I7" s="49"/>
      <c r="J7" s="49"/>
      <c r="K7" s="50"/>
      <c r="L7" s="49"/>
      <c r="M7" s="15"/>
    </row>
    <row r="8" spans="1:13" ht="15.75">
      <c r="A8" s="282"/>
      <c r="B8" s="432"/>
      <c r="C8" s="526" t="s">
        <v>2977</v>
      </c>
      <c r="D8" s="526"/>
      <c r="E8" s="526"/>
      <c r="F8" s="526"/>
      <c r="G8" s="526"/>
      <c r="H8" s="526"/>
      <c r="I8" s="526"/>
      <c r="J8" s="526"/>
      <c r="K8" s="526"/>
      <c r="L8" s="526"/>
      <c r="M8" s="15"/>
    </row>
    <row r="9" spans="1:13" ht="12.75">
      <c r="A9" s="82" t="s">
        <v>2208</v>
      </c>
      <c r="B9" s="399" t="s">
        <v>2708</v>
      </c>
      <c r="C9" s="17" t="s">
        <v>3795</v>
      </c>
      <c r="D9" s="88" t="s">
        <v>3600</v>
      </c>
      <c r="E9" s="84" t="s">
        <v>115</v>
      </c>
      <c r="F9" s="17" t="s">
        <v>125</v>
      </c>
      <c r="G9" s="84" t="s">
        <v>1643</v>
      </c>
      <c r="H9" s="373">
        <v>115</v>
      </c>
      <c r="I9" s="371">
        <v>120</v>
      </c>
      <c r="J9" s="373">
        <v>123</v>
      </c>
      <c r="K9" s="87" t="s">
        <v>139</v>
      </c>
      <c r="L9" s="359">
        <v>119.6702</v>
      </c>
      <c r="M9" s="88" t="s">
        <v>1906</v>
      </c>
    </row>
    <row r="10" spans="1:13" ht="12.75">
      <c r="A10" s="82" t="s">
        <v>2208</v>
      </c>
      <c r="B10" s="399" t="s">
        <v>2708</v>
      </c>
      <c r="C10" s="19" t="s">
        <v>3795</v>
      </c>
      <c r="D10" s="95" t="s">
        <v>3599</v>
      </c>
      <c r="E10" s="98" t="s">
        <v>115</v>
      </c>
      <c r="F10" s="19" t="s">
        <v>125</v>
      </c>
      <c r="G10" s="98" t="s">
        <v>1643</v>
      </c>
      <c r="H10" s="374">
        <v>115</v>
      </c>
      <c r="I10" s="372">
        <v>120</v>
      </c>
      <c r="J10" s="374">
        <v>123</v>
      </c>
      <c r="K10" s="100" t="s">
        <v>139</v>
      </c>
      <c r="L10" s="370">
        <v>119.6702</v>
      </c>
      <c r="M10" s="95" t="s">
        <v>1906</v>
      </c>
    </row>
    <row r="11" spans="1:13" ht="12.75">
      <c r="A11" s="82"/>
      <c r="B11" s="399"/>
      <c r="C11" s="15"/>
      <c r="D11" s="15"/>
      <c r="E11" s="15"/>
      <c r="F11" s="15"/>
      <c r="G11" s="15"/>
      <c r="H11" s="229"/>
      <c r="I11" s="229"/>
      <c r="J11" s="229"/>
      <c r="K11" s="50"/>
      <c r="L11" s="229"/>
      <c r="M11" s="15"/>
    </row>
    <row r="12" spans="1:13" ht="15.75">
      <c r="A12" s="282"/>
      <c r="B12" s="432"/>
      <c r="C12" s="508" t="s">
        <v>2977</v>
      </c>
      <c r="D12" s="508"/>
      <c r="E12" s="508"/>
      <c r="F12" s="508"/>
      <c r="G12" s="508"/>
      <c r="H12" s="508"/>
      <c r="I12" s="508"/>
      <c r="J12" s="508"/>
      <c r="K12" s="508"/>
      <c r="L12" s="508"/>
      <c r="M12" s="15"/>
    </row>
    <row r="13" spans="1:13" ht="12.75">
      <c r="A13" s="82" t="s">
        <v>2208</v>
      </c>
      <c r="B13" s="399" t="s">
        <v>3489</v>
      </c>
      <c r="C13" s="20" t="s">
        <v>3801</v>
      </c>
      <c r="D13" s="210" t="s">
        <v>3586</v>
      </c>
      <c r="E13" s="210" t="s">
        <v>3587</v>
      </c>
      <c r="F13" s="210" t="s">
        <v>125</v>
      </c>
      <c r="G13" s="210" t="s">
        <v>3588</v>
      </c>
      <c r="H13" s="306" t="s">
        <v>175</v>
      </c>
      <c r="I13" s="344" t="s">
        <v>120</v>
      </c>
      <c r="J13" s="344" t="s">
        <v>120</v>
      </c>
      <c r="K13" s="200" t="s">
        <v>175</v>
      </c>
      <c r="L13" s="271" t="s">
        <v>3589</v>
      </c>
      <c r="M13" s="210" t="s">
        <v>1906</v>
      </c>
    </row>
    <row r="14" spans="1:13" ht="12.75">
      <c r="A14" s="82"/>
      <c r="B14" s="399"/>
      <c r="C14" s="15"/>
      <c r="D14" s="15"/>
      <c r="E14" s="15"/>
      <c r="F14" s="15"/>
      <c r="G14" s="15"/>
      <c r="H14" s="49"/>
      <c r="I14" s="49"/>
      <c r="J14" s="49"/>
      <c r="K14" s="50"/>
      <c r="L14" s="49"/>
      <c r="M14" s="15"/>
    </row>
    <row r="15" spans="1:13" ht="15.75">
      <c r="A15" s="282"/>
      <c r="B15" s="432"/>
      <c r="C15" s="526" t="s">
        <v>164</v>
      </c>
      <c r="D15" s="526"/>
      <c r="E15" s="526"/>
      <c r="F15" s="526"/>
      <c r="G15" s="526"/>
      <c r="H15" s="526"/>
      <c r="I15" s="526"/>
      <c r="J15" s="526"/>
      <c r="K15" s="526"/>
      <c r="L15" s="526"/>
      <c r="M15" s="15"/>
    </row>
    <row r="16" spans="1:13" ht="12.75">
      <c r="A16" s="82" t="s">
        <v>2208</v>
      </c>
      <c r="B16" s="399" t="s">
        <v>3526</v>
      </c>
      <c r="C16" s="83" t="s">
        <v>3797</v>
      </c>
      <c r="D16" s="17" t="s">
        <v>3570</v>
      </c>
      <c r="E16" s="84" t="s">
        <v>798</v>
      </c>
      <c r="F16" s="17" t="s">
        <v>130</v>
      </c>
      <c r="G16" s="84" t="s">
        <v>2469</v>
      </c>
      <c r="H16" s="351" t="s">
        <v>480</v>
      </c>
      <c r="I16" s="309" t="s">
        <v>131</v>
      </c>
      <c r="J16" s="312" t="s">
        <v>63</v>
      </c>
      <c r="K16" s="87" t="s">
        <v>63</v>
      </c>
      <c r="L16" s="264" t="s">
        <v>3590</v>
      </c>
      <c r="M16" s="88" t="s">
        <v>51</v>
      </c>
    </row>
    <row r="17" spans="1:13" ht="12.75">
      <c r="A17" s="82" t="s">
        <v>2208</v>
      </c>
      <c r="B17" s="399"/>
      <c r="C17" s="92" t="s">
        <v>3802</v>
      </c>
      <c r="D17" s="18" t="s">
        <v>3574</v>
      </c>
      <c r="E17" s="79" t="s">
        <v>3575</v>
      </c>
      <c r="F17" s="18" t="s">
        <v>31</v>
      </c>
      <c r="G17" s="79" t="s">
        <v>1330</v>
      </c>
      <c r="H17" s="313" t="s">
        <v>64</v>
      </c>
      <c r="I17" s="307" t="s">
        <v>268</v>
      </c>
      <c r="J17" s="313" t="s">
        <v>555</v>
      </c>
      <c r="K17" s="82" t="s">
        <v>555</v>
      </c>
      <c r="L17" s="258" t="s">
        <v>3591</v>
      </c>
      <c r="M17" s="93" t="s">
        <v>1914</v>
      </c>
    </row>
    <row r="18" spans="1:13" ht="12.75">
      <c r="A18" s="82" t="s">
        <v>2208</v>
      </c>
      <c r="B18" s="399"/>
      <c r="C18" s="94" t="s">
        <v>3803</v>
      </c>
      <c r="D18" s="19" t="s">
        <v>3592</v>
      </c>
      <c r="E18" s="98" t="s">
        <v>3575</v>
      </c>
      <c r="F18" s="19" t="s">
        <v>31</v>
      </c>
      <c r="G18" s="98" t="s">
        <v>3593</v>
      </c>
      <c r="H18" s="314" t="s">
        <v>132</v>
      </c>
      <c r="I18" s="310" t="s">
        <v>64</v>
      </c>
      <c r="J18" s="352" t="s">
        <v>3594</v>
      </c>
      <c r="K18" s="100" t="s">
        <v>64</v>
      </c>
      <c r="L18" s="265" t="s">
        <v>3595</v>
      </c>
      <c r="M18" s="95" t="s">
        <v>51</v>
      </c>
    </row>
    <row r="19" spans="1:13" ht="12.75">
      <c r="A19" s="82"/>
      <c r="B19" s="399"/>
      <c r="C19" s="15"/>
      <c r="D19" s="15"/>
      <c r="E19" s="15"/>
      <c r="F19" s="15"/>
      <c r="G19" s="15"/>
      <c r="H19" s="49"/>
      <c r="I19" s="49"/>
      <c r="J19" s="49"/>
      <c r="K19" s="50"/>
      <c r="L19" s="49"/>
      <c r="M19" s="15"/>
    </row>
    <row r="20" spans="1:13" ht="15.75">
      <c r="A20" s="282"/>
      <c r="B20" s="432"/>
      <c r="C20" s="508" t="s">
        <v>227</v>
      </c>
      <c r="D20" s="508"/>
      <c r="E20" s="508"/>
      <c r="F20" s="508"/>
      <c r="G20" s="508"/>
      <c r="H20" s="508"/>
      <c r="I20" s="508"/>
      <c r="J20" s="508"/>
      <c r="K20" s="508"/>
      <c r="L20" s="508"/>
      <c r="M20" s="15"/>
    </row>
    <row r="21" spans="1:13" ht="12.75">
      <c r="A21" s="82" t="s">
        <v>2208</v>
      </c>
      <c r="B21" s="399" t="s">
        <v>3526</v>
      </c>
      <c r="C21" s="20" t="s">
        <v>3804</v>
      </c>
      <c r="D21" s="210" t="s">
        <v>3596</v>
      </c>
      <c r="E21" s="210" t="s">
        <v>300</v>
      </c>
      <c r="F21" s="210" t="s">
        <v>125</v>
      </c>
      <c r="G21" s="210" t="s">
        <v>1410</v>
      </c>
      <c r="H21" s="306" t="s">
        <v>153</v>
      </c>
      <c r="I21" s="306" t="s">
        <v>269</v>
      </c>
      <c r="J21" s="344" t="s">
        <v>350</v>
      </c>
      <c r="K21" s="200" t="s">
        <v>269</v>
      </c>
      <c r="L21" s="271" t="s">
        <v>3597</v>
      </c>
      <c r="M21" s="210" t="s">
        <v>1906</v>
      </c>
    </row>
    <row r="22" spans="1:13" ht="12.75">
      <c r="A22" s="82"/>
      <c r="B22" s="399"/>
      <c r="C22" s="15"/>
      <c r="D22" s="15"/>
      <c r="E22" s="15"/>
      <c r="F22" s="15"/>
      <c r="G22" s="15"/>
      <c r="H22" s="49"/>
      <c r="I22" s="49"/>
      <c r="J22" s="49"/>
      <c r="K22" s="50"/>
      <c r="L22" s="49"/>
      <c r="M22" s="15"/>
    </row>
    <row r="23" spans="1:13" ht="15.75">
      <c r="A23" s="282"/>
      <c r="B23" s="432"/>
      <c r="C23" s="526" t="s">
        <v>3319</v>
      </c>
      <c r="D23" s="526"/>
      <c r="E23" s="526"/>
      <c r="F23" s="526"/>
      <c r="G23" s="526"/>
      <c r="H23" s="526"/>
      <c r="I23" s="526"/>
      <c r="J23" s="526"/>
      <c r="K23" s="526"/>
      <c r="L23" s="526"/>
      <c r="M23" s="15"/>
    </row>
    <row r="24" spans="1:13" ht="12.75">
      <c r="A24" s="82" t="s">
        <v>2208</v>
      </c>
      <c r="B24" s="399" t="s">
        <v>3526</v>
      </c>
      <c r="C24" s="17" t="s">
        <v>3805</v>
      </c>
      <c r="D24" s="88" t="s">
        <v>3581</v>
      </c>
      <c r="E24" s="84" t="s">
        <v>336</v>
      </c>
      <c r="F24" s="17" t="s">
        <v>125</v>
      </c>
      <c r="G24" s="84" t="s">
        <v>1643</v>
      </c>
      <c r="H24" s="312" t="s">
        <v>64</v>
      </c>
      <c r="I24" s="349" t="s">
        <v>153</v>
      </c>
      <c r="J24" s="312" t="s">
        <v>153</v>
      </c>
      <c r="K24" s="87" t="s">
        <v>153</v>
      </c>
      <c r="L24" s="264" t="s">
        <v>3598</v>
      </c>
      <c r="M24" s="88" t="s">
        <v>1906</v>
      </c>
    </row>
    <row r="25" spans="1:13" ht="12.75">
      <c r="A25" s="82" t="s">
        <v>2208</v>
      </c>
      <c r="B25" s="399" t="s">
        <v>3526</v>
      </c>
      <c r="C25" s="19" t="s">
        <v>3805</v>
      </c>
      <c r="D25" s="95" t="s">
        <v>3419</v>
      </c>
      <c r="E25" s="98" t="s">
        <v>336</v>
      </c>
      <c r="F25" s="19" t="s">
        <v>125</v>
      </c>
      <c r="G25" s="98" t="s">
        <v>1643</v>
      </c>
      <c r="H25" s="314" t="s">
        <v>64</v>
      </c>
      <c r="I25" s="350" t="s">
        <v>153</v>
      </c>
      <c r="J25" s="314" t="s">
        <v>153</v>
      </c>
      <c r="K25" s="100" t="s">
        <v>153</v>
      </c>
      <c r="L25" s="265" t="s">
        <v>3598</v>
      </c>
      <c r="M25" s="95" t="s">
        <v>1906</v>
      </c>
    </row>
    <row r="26" spans="1:13" ht="12.75">
      <c r="A26" s="82"/>
      <c r="B26" s="399"/>
      <c r="C26" s="15"/>
      <c r="D26" s="15"/>
      <c r="E26" s="15"/>
      <c r="F26" s="15"/>
      <c r="G26" s="15"/>
      <c r="H26" s="49"/>
      <c r="I26" s="49"/>
      <c r="J26" s="49"/>
      <c r="K26" s="50"/>
      <c r="L26" s="49"/>
      <c r="M26" s="15"/>
    </row>
    <row r="27" spans="1:13" ht="18">
      <c r="A27" s="50"/>
      <c r="B27" s="402"/>
      <c r="C27" s="16" t="s">
        <v>370</v>
      </c>
      <c r="D27" s="16"/>
      <c r="E27" s="15"/>
      <c r="F27" s="15"/>
      <c r="G27" s="15"/>
      <c r="H27" s="49"/>
      <c r="I27" s="49"/>
      <c r="J27" s="49"/>
      <c r="K27" s="50"/>
      <c r="L27" s="49"/>
      <c r="M27" s="15"/>
    </row>
    <row r="28" spans="1:13" ht="18">
      <c r="A28" s="50"/>
      <c r="B28" s="402"/>
      <c r="C28" s="272" t="s">
        <v>3323</v>
      </c>
      <c r="D28" s="15"/>
      <c r="E28" s="15"/>
      <c r="F28" s="15"/>
      <c r="G28" s="15"/>
      <c r="H28" s="49"/>
      <c r="I28" s="49"/>
      <c r="J28" s="49"/>
      <c r="K28" s="50"/>
      <c r="L28" s="49"/>
      <c r="M28" s="15"/>
    </row>
    <row r="29" spans="1:13" ht="12.75">
      <c r="A29" s="50"/>
      <c r="B29" s="402"/>
      <c r="C29" s="15"/>
      <c r="D29" s="15"/>
      <c r="E29" s="15"/>
      <c r="F29" s="15"/>
      <c r="G29" s="15"/>
      <c r="H29" s="49"/>
      <c r="I29" s="49"/>
      <c r="J29" s="49"/>
      <c r="K29" s="50"/>
      <c r="L29" s="49"/>
      <c r="M29" s="15"/>
    </row>
    <row r="30" spans="1:13" ht="13.5">
      <c r="A30" s="50"/>
      <c r="B30" s="402"/>
      <c r="C30" s="26" t="s">
        <v>373</v>
      </c>
      <c r="D30" s="181" t="s">
        <v>374</v>
      </c>
      <c r="E30" s="181" t="s">
        <v>3286</v>
      </c>
      <c r="F30" s="181" t="s">
        <v>377</v>
      </c>
      <c r="G30" s="15"/>
      <c r="H30" s="49"/>
      <c r="I30" s="49"/>
      <c r="J30" s="49"/>
      <c r="K30" s="50"/>
      <c r="L30" s="49"/>
      <c r="M30" s="15"/>
    </row>
    <row r="31" spans="1:13" ht="12.75">
      <c r="A31" s="50" t="s">
        <v>2208</v>
      </c>
      <c r="B31" s="402"/>
      <c r="C31" s="15" t="s">
        <v>3585</v>
      </c>
      <c r="D31" s="49" t="s">
        <v>3189</v>
      </c>
      <c r="E31" s="49" t="s">
        <v>3587</v>
      </c>
      <c r="F31" s="49" t="s">
        <v>3589</v>
      </c>
      <c r="G31" s="15"/>
      <c r="H31" s="49"/>
      <c r="I31" s="49"/>
      <c r="J31" s="49"/>
      <c r="K31" s="50"/>
      <c r="L31" s="49"/>
      <c r="M31" s="15"/>
    </row>
    <row r="32" spans="1:13" ht="12.75">
      <c r="A32" s="50" t="s">
        <v>2209</v>
      </c>
      <c r="B32" s="402"/>
      <c r="C32" s="15" t="s">
        <v>3418</v>
      </c>
      <c r="D32" s="49" t="s">
        <v>3189</v>
      </c>
      <c r="E32" s="49" t="s">
        <v>336</v>
      </c>
      <c r="F32" s="49" t="s">
        <v>3598</v>
      </c>
      <c r="G32" s="15"/>
      <c r="H32" s="49"/>
      <c r="I32" s="49"/>
      <c r="J32" s="49"/>
      <c r="K32" s="50"/>
      <c r="L32" s="49"/>
      <c r="M32" s="15"/>
    </row>
    <row r="33" spans="1:13" ht="12.75">
      <c r="A33" s="50" t="s">
        <v>2210</v>
      </c>
      <c r="B33" s="402"/>
      <c r="C33" s="15" t="s">
        <v>3573</v>
      </c>
      <c r="D33" s="49" t="s">
        <v>3189</v>
      </c>
      <c r="E33" s="49" t="s">
        <v>3575</v>
      </c>
      <c r="F33" s="49" t="s">
        <v>3591</v>
      </c>
      <c r="G33" s="15"/>
      <c r="H33" s="49"/>
      <c r="I33" s="49"/>
      <c r="J33" s="49"/>
      <c r="K33" s="50"/>
      <c r="L33" s="49"/>
      <c r="M33" s="15"/>
    </row>
    <row r="34" spans="1:13" ht="12.75">
      <c r="A34" s="50"/>
      <c r="B34" s="402"/>
      <c r="C34" s="15"/>
      <c r="D34" s="15"/>
      <c r="E34" s="15"/>
      <c r="F34" s="15"/>
      <c r="G34" s="15"/>
      <c r="H34" s="49"/>
      <c r="I34" s="49"/>
      <c r="J34" s="49"/>
      <c r="K34" s="50"/>
      <c r="L34" s="49"/>
      <c r="M34" s="15"/>
    </row>
    <row r="35" spans="1:13" ht="12.75">
      <c r="A35" s="50"/>
      <c r="B35" s="402"/>
      <c r="C35" s="15"/>
      <c r="D35" s="15"/>
      <c r="E35" s="15"/>
      <c r="F35" s="15"/>
      <c r="G35" s="15"/>
      <c r="H35" s="49"/>
      <c r="I35" s="49"/>
      <c r="J35" s="49"/>
      <c r="K35" s="50"/>
      <c r="L35" s="49"/>
      <c r="M35" s="15"/>
    </row>
    <row r="36" spans="1:13" ht="12.75">
      <c r="A36" s="50"/>
      <c r="B36" s="402"/>
      <c r="C36" s="15"/>
      <c r="D36" s="15"/>
      <c r="E36" s="15"/>
      <c r="F36" s="15"/>
      <c r="G36" s="15"/>
      <c r="H36" s="49"/>
      <c r="I36" s="49"/>
      <c r="J36" s="49"/>
      <c r="K36" s="50"/>
      <c r="L36" s="49"/>
      <c r="M36" s="15"/>
    </row>
    <row r="37" spans="1:13" ht="12.75">
      <c r="A37" s="50"/>
      <c r="B37" s="402"/>
      <c r="C37" s="15"/>
      <c r="D37" s="15"/>
      <c r="E37" s="15"/>
      <c r="F37" s="15"/>
      <c r="G37" s="15"/>
      <c r="H37" s="49"/>
      <c r="I37" s="49"/>
      <c r="J37" s="49"/>
      <c r="K37" s="50"/>
      <c r="L37" s="49"/>
      <c r="M37" s="15"/>
    </row>
    <row r="38" spans="1:13" ht="12.75">
      <c r="A38" s="50"/>
      <c r="B38" s="402"/>
      <c r="C38" s="15"/>
      <c r="D38" s="15"/>
      <c r="E38" s="15"/>
      <c r="F38" s="15"/>
      <c r="G38" s="15"/>
      <c r="H38" s="49"/>
      <c r="I38" s="49"/>
      <c r="J38" s="49"/>
      <c r="K38" s="50"/>
      <c r="L38" s="49"/>
      <c r="M38" s="15"/>
    </row>
    <row r="39" spans="1:13" ht="12.75">
      <c r="A39" s="50"/>
      <c r="B39" s="402"/>
      <c r="C39" s="15"/>
      <c r="D39" s="15"/>
      <c r="E39" s="15"/>
      <c r="F39" s="15"/>
      <c r="G39" s="15"/>
      <c r="H39" s="49"/>
      <c r="I39" s="49"/>
      <c r="J39" s="49"/>
      <c r="K39" s="50"/>
      <c r="L39" s="49"/>
      <c r="M39" s="15"/>
    </row>
    <row r="40" spans="1:13" ht="12.75">
      <c r="A40" s="50"/>
      <c r="B40" s="402"/>
      <c r="C40" s="15"/>
      <c r="D40" s="15"/>
      <c r="E40" s="15"/>
      <c r="F40" s="15"/>
      <c r="G40" s="15"/>
      <c r="H40" s="49"/>
      <c r="I40" s="49"/>
      <c r="J40" s="49"/>
      <c r="K40" s="50"/>
      <c r="L40" s="49"/>
      <c r="M40" s="15"/>
    </row>
    <row r="41" spans="1:13" ht="12.75">
      <c r="A41" s="50"/>
      <c r="B41" s="402"/>
      <c r="C41" s="15"/>
      <c r="D41" s="15"/>
      <c r="E41" s="15"/>
      <c r="F41" s="15"/>
      <c r="G41" s="15"/>
      <c r="H41" s="49"/>
      <c r="I41" s="49"/>
      <c r="J41" s="49"/>
      <c r="K41" s="50"/>
      <c r="L41" s="49"/>
      <c r="M41" s="15"/>
    </row>
  </sheetData>
  <sheetProtection/>
  <mergeCells count="18">
    <mergeCell ref="C23:L23"/>
    <mergeCell ref="C1:M1"/>
    <mergeCell ref="C2:M2"/>
    <mergeCell ref="A3:A4"/>
    <mergeCell ref="C3:C4"/>
    <mergeCell ref="E3:E4"/>
    <mergeCell ref="F3:F4"/>
    <mergeCell ref="G3:G4"/>
    <mergeCell ref="H3:J3"/>
    <mergeCell ref="K3:K4"/>
    <mergeCell ref="B3:B4"/>
    <mergeCell ref="M3:M4"/>
    <mergeCell ref="C8:L8"/>
    <mergeCell ref="C12:L12"/>
    <mergeCell ref="C15:L15"/>
    <mergeCell ref="C20:L20"/>
    <mergeCell ref="L3:L4"/>
    <mergeCell ref="C5:L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B1">
      <selection activeCell="R6" sqref="R6"/>
    </sheetView>
  </sheetViews>
  <sheetFormatPr defaultColWidth="11.375" defaultRowHeight="12.75"/>
  <cols>
    <col min="1" max="1" width="8.25390625" style="0" customWidth="1"/>
    <col min="2" max="2" width="14.00390625" style="409" customWidth="1"/>
    <col min="3" max="3" width="27.875" style="0" customWidth="1"/>
    <col min="4" max="4" width="24.25390625" style="0" customWidth="1"/>
    <col min="5" max="5" width="15.375" style="0" customWidth="1"/>
    <col min="6" max="6" width="11.25390625" style="0" customWidth="1"/>
    <col min="7" max="7" width="31.125" style="0" customWidth="1"/>
    <col min="8" max="10" width="5.625" style="0" customWidth="1"/>
    <col min="11" max="11" width="9.125" style="0" customWidth="1"/>
    <col min="12" max="12" width="8.25390625" style="0" customWidth="1"/>
    <col min="13" max="14" width="7.75390625" style="0" customWidth="1"/>
    <col min="15" max="16" width="8.25390625" style="0" customWidth="1"/>
    <col min="17" max="17" width="9.625" style="0" customWidth="1"/>
    <col min="18" max="18" width="15.25390625" style="0" customWidth="1"/>
  </cols>
  <sheetData>
    <row r="1" spans="1:18" ht="57.75" customHeight="1">
      <c r="A1" s="104"/>
      <c r="B1" s="433"/>
      <c r="C1" s="509" t="s">
        <v>3601</v>
      </c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82"/>
      <c r="Q1" s="104"/>
      <c r="R1" s="104"/>
    </row>
    <row r="2" spans="1:18" ht="30" thickBot="1">
      <c r="A2" s="104"/>
      <c r="B2" s="433"/>
      <c r="C2" s="509" t="s">
        <v>3283</v>
      </c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82"/>
      <c r="Q2" s="104"/>
      <c r="R2" s="104"/>
    </row>
    <row r="3" spans="1:18" ht="13.5" customHeight="1">
      <c r="A3" s="512" t="s">
        <v>1627</v>
      </c>
      <c r="B3" s="516" t="s">
        <v>4516</v>
      </c>
      <c r="C3" s="514" t="s">
        <v>0</v>
      </c>
      <c r="D3" s="454" t="s">
        <v>3284</v>
      </c>
      <c r="E3" s="514" t="s">
        <v>3286</v>
      </c>
      <c r="F3" s="514" t="s">
        <v>7</v>
      </c>
      <c r="G3" s="514" t="s">
        <v>3287</v>
      </c>
      <c r="H3" s="514" t="s">
        <v>3388</v>
      </c>
      <c r="I3" s="514"/>
      <c r="J3" s="514"/>
      <c r="K3" s="514" t="s">
        <v>1672</v>
      </c>
      <c r="L3" s="514" t="s">
        <v>3389</v>
      </c>
      <c r="M3" s="514" t="s">
        <v>3288</v>
      </c>
      <c r="N3" s="514"/>
      <c r="O3" s="514" t="s">
        <v>3389</v>
      </c>
      <c r="P3" s="516" t="s">
        <v>3390</v>
      </c>
      <c r="Q3" s="514" t="s">
        <v>6</v>
      </c>
      <c r="R3" s="510" t="s">
        <v>5</v>
      </c>
    </row>
    <row r="4" spans="1:18" ht="15" thickBot="1">
      <c r="A4" s="513"/>
      <c r="B4" s="517"/>
      <c r="C4" s="515"/>
      <c r="D4" s="455" t="s">
        <v>3285</v>
      </c>
      <c r="E4" s="515"/>
      <c r="F4" s="515"/>
      <c r="G4" s="515"/>
      <c r="H4" s="456" t="s">
        <v>2208</v>
      </c>
      <c r="I4" s="456" t="s">
        <v>2209</v>
      </c>
      <c r="J4" s="456" t="s">
        <v>2210</v>
      </c>
      <c r="K4" s="515"/>
      <c r="L4" s="515"/>
      <c r="M4" s="456" t="s">
        <v>2604</v>
      </c>
      <c r="N4" s="456" t="s">
        <v>3289</v>
      </c>
      <c r="O4" s="515"/>
      <c r="P4" s="517"/>
      <c r="Q4" s="515"/>
      <c r="R4" s="511"/>
    </row>
    <row r="5" spans="1:18" ht="15.75">
      <c r="A5" s="326"/>
      <c r="B5" s="437"/>
      <c r="C5" s="526" t="s">
        <v>80</v>
      </c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326"/>
      <c r="P5" s="437"/>
      <c r="Q5" s="326"/>
      <c r="R5" s="326"/>
    </row>
    <row r="6" spans="1:18" ht="12.75">
      <c r="A6" s="82" t="s">
        <v>2208</v>
      </c>
      <c r="B6" s="399" t="s">
        <v>3489</v>
      </c>
      <c r="C6" s="20" t="s">
        <v>3765</v>
      </c>
      <c r="D6" s="20" t="s">
        <v>1132</v>
      </c>
      <c r="E6" s="20" t="s">
        <v>515</v>
      </c>
      <c r="F6" s="20" t="s">
        <v>125</v>
      </c>
      <c r="G6" s="20" t="s">
        <v>1643</v>
      </c>
      <c r="H6" s="491">
        <v>62.5</v>
      </c>
      <c r="I6" s="491">
        <v>67.5</v>
      </c>
      <c r="J6" s="316" t="s">
        <v>56</v>
      </c>
      <c r="K6" s="33" t="s">
        <v>55</v>
      </c>
      <c r="L6" s="33" t="s">
        <v>3391</v>
      </c>
      <c r="M6" s="379" t="s">
        <v>3190</v>
      </c>
      <c r="N6" s="379" t="s">
        <v>2214</v>
      </c>
      <c r="O6" s="33" t="s">
        <v>3391</v>
      </c>
      <c r="P6" s="492" t="s">
        <v>3392</v>
      </c>
      <c r="Q6" s="379" t="s">
        <v>3721</v>
      </c>
      <c r="R6" s="20" t="s">
        <v>51</v>
      </c>
    </row>
    <row r="7" spans="1:18" ht="13.5">
      <c r="A7" s="184"/>
      <c r="B7" s="302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302"/>
      <c r="Q7" s="184"/>
      <c r="R7" s="184"/>
    </row>
    <row r="8" spans="1:17" ht="15.75">
      <c r="A8" s="82"/>
      <c r="B8" s="399"/>
      <c r="C8" s="526" t="s">
        <v>3062</v>
      </c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0"/>
      <c r="P8" s="29"/>
      <c r="Q8" s="229"/>
    </row>
    <row r="9" spans="1:18" ht="12.75">
      <c r="A9" s="97">
        <v>1</v>
      </c>
      <c r="B9" s="434">
        <v>30</v>
      </c>
      <c r="C9" s="17" t="s">
        <v>3806</v>
      </c>
      <c r="D9" s="88" t="s">
        <v>3602</v>
      </c>
      <c r="E9" s="84" t="s">
        <v>3603</v>
      </c>
      <c r="F9" s="17" t="s">
        <v>125</v>
      </c>
      <c r="G9" s="84" t="s">
        <v>3604</v>
      </c>
      <c r="H9" s="384">
        <v>85</v>
      </c>
      <c r="I9" s="381">
        <v>90</v>
      </c>
      <c r="J9" s="384">
        <v>95</v>
      </c>
      <c r="K9" s="87" t="s">
        <v>33</v>
      </c>
      <c r="L9" s="35" t="s">
        <v>3391</v>
      </c>
      <c r="M9" s="354">
        <v>70</v>
      </c>
      <c r="N9" s="359">
        <v>20</v>
      </c>
      <c r="O9" s="355">
        <v>20</v>
      </c>
      <c r="P9" s="360">
        <v>40</v>
      </c>
      <c r="Q9" s="356">
        <v>6715.204</v>
      </c>
      <c r="R9" s="17" t="s">
        <v>1906</v>
      </c>
    </row>
    <row r="10" spans="1:18" ht="12.75">
      <c r="A10" s="97">
        <v>1</v>
      </c>
      <c r="B10" s="434">
        <v>30</v>
      </c>
      <c r="C10" s="19" t="s">
        <v>3806</v>
      </c>
      <c r="D10" s="95" t="s">
        <v>3605</v>
      </c>
      <c r="E10" s="98" t="s">
        <v>3603</v>
      </c>
      <c r="F10" s="19" t="s">
        <v>125</v>
      </c>
      <c r="G10" s="98" t="s">
        <v>3604</v>
      </c>
      <c r="H10" s="385">
        <v>85</v>
      </c>
      <c r="I10" s="382">
        <v>90</v>
      </c>
      <c r="J10" s="385">
        <v>95</v>
      </c>
      <c r="K10" s="100" t="s">
        <v>33</v>
      </c>
      <c r="L10" s="41" t="s">
        <v>3391</v>
      </c>
      <c r="M10" s="358">
        <v>70</v>
      </c>
      <c r="N10" s="370">
        <v>20</v>
      </c>
      <c r="O10" s="357">
        <v>20</v>
      </c>
      <c r="P10" s="361">
        <v>40</v>
      </c>
      <c r="Q10" s="383">
        <v>6715.204</v>
      </c>
      <c r="R10" s="19" t="s">
        <v>1906</v>
      </c>
    </row>
    <row r="11" spans="1:18" ht="12.75">
      <c r="A11" s="97"/>
      <c r="B11" s="434"/>
      <c r="C11" s="15"/>
      <c r="D11" s="15"/>
      <c r="E11" s="15"/>
      <c r="F11" s="15"/>
      <c r="G11" s="15"/>
      <c r="H11" s="229"/>
      <c r="I11" s="229"/>
      <c r="J11" s="229"/>
      <c r="K11" s="50"/>
      <c r="L11" s="50"/>
      <c r="M11" s="229"/>
      <c r="N11" s="229"/>
      <c r="O11" s="29"/>
      <c r="P11" s="29"/>
      <c r="Q11" s="229"/>
      <c r="R11" s="15"/>
    </row>
    <row r="12" spans="1:17" ht="15.75">
      <c r="A12" s="82"/>
      <c r="B12" s="399"/>
      <c r="C12" s="526" t="s">
        <v>2977</v>
      </c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0"/>
      <c r="P12" s="29"/>
      <c r="Q12" s="229"/>
    </row>
    <row r="13" spans="1:18" ht="12.75">
      <c r="A13" s="97">
        <v>1</v>
      </c>
      <c r="B13" s="434">
        <v>36</v>
      </c>
      <c r="C13" s="17" t="s">
        <v>3795</v>
      </c>
      <c r="D13" s="88" t="s">
        <v>3600</v>
      </c>
      <c r="E13" s="84" t="s">
        <v>115</v>
      </c>
      <c r="F13" s="17" t="s">
        <v>125</v>
      </c>
      <c r="G13" s="84" t="s">
        <v>1643</v>
      </c>
      <c r="H13" s="384">
        <v>115</v>
      </c>
      <c r="I13" s="381">
        <v>120</v>
      </c>
      <c r="J13" s="389">
        <v>122.5</v>
      </c>
      <c r="K13" s="87" t="s">
        <v>139</v>
      </c>
      <c r="L13" s="35" t="s">
        <v>3391</v>
      </c>
      <c r="M13" s="354">
        <v>80</v>
      </c>
      <c r="N13" s="359">
        <v>20</v>
      </c>
      <c r="O13" s="355">
        <v>20</v>
      </c>
      <c r="P13" s="360">
        <v>40</v>
      </c>
      <c r="Q13" s="354">
        <v>7701.0085</v>
      </c>
      <c r="R13" s="17" t="s">
        <v>1906</v>
      </c>
    </row>
    <row r="14" spans="1:18" ht="12.75">
      <c r="A14" s="97">
        <v>1</v>
      </c>
      <c r="B14" s="434">
        <v>36</v>
      </c>
      <c r="C14" s="19" t="s">
        <v>3795</v>
      </c>
      <c r="D14" s="95" t="s">
        <v>3599</v>
      </c>
      <c r="E14" s="98" t="s">
        <v>115</v>
      </c>
      <c r="F14" s="19" t="s">
        <v>125</v>
      </c>
      <c r="G14" s="98" t="s">
        <v>1643</v>
      </c>
      <c r="H14" s="385">
        <v>115</v>
      </c>
      <c r="I14" s="382">
        <v>120</v>
      </c>
      <c r="J14" s="390">
        <v>122.5</v>
      </c>
      <c r="K14" s="100" t="s">
        <v>139</v>
      </c>
      <c r="L14" s="41" t="s">
        <v>3391</v>
      </c>
      <c r="M14" s="358">
        <v>80</v>
      </c>
      <c r="N14" s="370">
        <v>20</v>
      </c>
      <c r="O14" s="357">
        <v>20</v>
      </c>
      <c r="P14" s="361">
        <v>40</v>
      </c>
      <c r="Q14" s="358">
        <v>7701.0085</v>
      </c>
      <c r="R14" s="19" t="s">
        <v>1906</v>
      </c>
    </row>
    <row r="15" spans="1:18" ht="12.75">
      <c r="A15" s="97"/>
      <c r="B15" s="434"/>
      <c r="C15" s="15"/>
      <c r="D15" s="15"/>
      <c r="E15" s="15"/>
      <c r="F15" s="15"/>
      <c r="G15" s="15"/>
      <c r="H15" s="229"/>
      <c r="I15" s="229"/>
      <c r="J15" s="229"/>
      <c r="K15" s="50"/>
      <c r="L15" s="50"/>
      <c r="M15" s="229"/>
      <c r="N15" s="229"/>
      <c r="O15" s="29"/>
      <c r="P15" s="29"/>
      <c r="Q15" s="229"/>
      <c r="R15" s="15"/>
    </row>
    <row r="16" spans="1:17" ht="15.75">
      <c r="A16" s="82"/>
      <c r="B16" s="399"/>
      <c r="C16" s="508" t="s">
        <v>2977</v>
      </c>
      <c r="D16" s="508"/>
      <c r="E16" s="508"/>
      <c r="F16" s="508"/>
      <c r="G16" s="508"/>
      <c r="H16" s="508"/>
      <c r="I16" s="508"/>
      <c r="J16" s="508"/>
      <c r="K16" s="508"/>
      <c r="L16" s="508"/>
      <c r="M16" s="508"/>
      <c r="N16" s="508"/>
      <c r="O16" s="50"/>
      <c r="P16" s="29"/>
      <c r="Q16" s="229"/>
    </row>
    <row r="17" spans="1:18" ht="12.75">
      <c r="A17" s="97">
        <v>1</v>
      </c>
      <c r="B17" s="434">
        <v>12</v>
      </c>
      <c r="C17" s="20" t="s">
        <v>3585</v>
      </c>
      <c r="D17" s="210" t="s">
        <v>3586</v>
      </c>
      <c r="E17" s="210" t="s">
        <v>3587</v>
      </c>
      <c r="F17" s="210" t="s">
        <v>125</v>
      </c>
      <c r="G17" s="210" t="s">
        <v>3606</v>
      </c>
      <c r="H17" s="378" t="s">
        <v>175</v>
      </c>
      <c r="I17" s="344" t="s">
        <v>120</v>
      </c>
      <c r="J17" s="344" t="s">
        <v>120</v>
      </c>
      <c r="K17" s="200" t="s">
        <v>175</v>
      </c>
      <c r="L17" s="200" t="s">
        <v>3391</v>
      </c>
      <c r="M17" s="271" t="s">
        <v>3607</v>
      </c>
      <c r="N17" s="271" t="s">
        <v>3493</v>
      </c>
      <c r="O17" s="347">
        <v>20</v>
      </c>
      <c r="P17" s="347">
        <v>40</v>
      </c>
      <c r="Q17" s="346">
        <v>7058.5218</v>
      </c>
      <c r="R17" s="210" t="s">
        <v>1906</v>
      </c>
    </row>
    <row r="18" spans="1:17" ht="12.75">
      <c r="A18" s="97"/>
      <c r="B18" s="434"/>
      <c r="C18" s="15"/>
      <c r="D18" s="15"/>
      <c r="E18" s="15"/>
      <c r="F18" s="15"/>
      <c r="G18" s="15"/>
      <c r="H18" s="49"/>
      <c r="I18" s="49"/>
      <c r="J18" s="49"/>
      <c r="K18" s="50"/>
      <c r="L18" s="50"/>
      <c r="M18" s="229"/>
      <c r="N18" s="229"/>
      <c r="O18" s="29"/>
      <c r="P18" s="29"/>
      <c r="Q18" s="229"/>
    </row>
    <row r="19" spans="1:17" ht="15.75">
      <c r="A19" s="82"/>
      <c r="B19" s="399"/>
      <c r="C19" s="526" t="s">
        <v>59</v>
      </c>
      <c r="D19" s="526"/>
      <c r="E19" s="526"/>
      <c r="F19" s="526"/>
      <c r="G19" s="526"/>
      <c r="H19" s="526"/>
      <c r="I19" s="526"/>
      <c r="J19" s="526"/>
      <c r="K19" s="526"/>
      <c r="L19" s="526"/>
      <c r="M19" s="526"/>
      <c r="N19" s="526"/>
      <c r="O19" s="50"/>
      <c r="P19" s="29"/>
      <c r="Q19" s="229"/>
    </row>
    <row r="20" spans="1:18" ht="12.75">
      <c r="A20" s="82" t="s">
        <v>2208</v>
      </c>
      <c r="B20" s="399" t="s">
        <v>3526</v>
      </c>
      <c r="C20" s="17" t="s">
        <v>3807</v>
      </c>
      <c r="D20" s="88" t="s">
        <v>3608</v>
      </c>
      <c r="E20" s="84" t="s">
        <v>3609</v>
      </c>
      <c r="F20" s="17" t="s">
        <v>125</v>
      </c>
      <c r="G20" s="84" t="s">
        <v>2666</v>
      </c>
      <c r="H20" s="395" t="s">
        <v>131</v>
      </c>
      <c r="I20" s="393" t="s">
        <v>132</v>
      </c>
      <c r="J20" s="351" t="s">
        <v>63</v>
      </c>
      <c r="K20" s="87" t="s">
        <v>132</v>
      </c>
      <c r="L20" s="35" t="s">
        <v>3391</v>
      </c>
      <c r="M20" s="280" t="s">
        <v>2186</v>
      </c>
      <c r="N20" s="264" t="s">
        <v>3361</v>
      </c>
      <c r="O20" s="87" t="s">
        <v>3391</v>
      </c>
      <c r="P20" s="35" t="s">
        <v>3392</v>
      </c>
      <c r="Q20" s="280" t="s">
        <v>3610</v>
      </c>
      <c r="R20" s="17" t="s">
        <v>1906</v>
      </c>
    </row>
    <row r="21" spans="1:18" ht="12.75">
      <c r="A21" s="82" t="s">
        <v>2208</v>
      </c>
      <c r="B21" s="399" t="s">
        <v>3526</v>
      </c>
      <c r="C21" s="18" t="s">
        <v>3808</v>
      </c>
      <c r="D21" s="93" t="s">
        <v>3611</v>
      </c>
      <c r="E21" s="79" t="s">
        <v>964</v>
      </c>
      <c r="F21" s="18" t="s">
        <v>125</v>
      </c>
      <c r="G21" s="79" t="s">
        <v>3511</v>
      </c>
      <c r="H21" s="396" t="s">
        <v>63</v>
      </c>
      <c r="I21" s="392" t="s">
        <v>183</v>
      </c>
      <c r="J21" s="362" t="s">
        <v>183</v>
      </c>
      <c r="K21" s="82" t="s">
        <v>63</v>
      </c>
      <c r="L21" s="38" t="s">
        <v>2731</v>
      </c>
      <c r="M21" s="104" t="s">
        <v>2186</v>
      </c>
      <c r="N21" s="258" t="s">
        <v>2620</v>
      </c>
      <c r="O21" s="82" t="s">
        <v>3391</v>
      </c>
      <c r="P21" s="38" t="s">
        <v>2635</v>
      </c>
      <c r="Q21" s="104" t="s">
        <v>3612</v>
      </c>
      <c r="R21" s="18" t="s">
        <v>3613</v>
      </c>
    </row>
    <row r="22" spans="1:18" ht="12.75">
      <c r="A22" s="82" t="s">
        <v>2209</v>
      </c>
      <c r="B22" s="399" t="s">
        <v>2614</v>
      </c>
      <c r="C22" s="18" t="s">
        <v>3809</v>
      </c>
      <c r="D22" s="93" t="s">
        <v>2669</v>
      </c>
      <c r="E22" s="79" t="s">
        <v>824</v>
      </c>
      <c r="F22" s="18" t="s">
        <v>125</v>
      </c>
      <c r="G22" s="79" t="s">
        <v>3614</v>
      </c>
      <c r="H22" s="396" t="s">
        <v>127</v>
      </c>
      <c r="I22" s="391" t="s">
        <v>108</v>
      </c>
      <c r="J22" s="362" t="s">
        <v>120</v>
      </c>
      <c r="K22" s="82" t="s">
        <v>108</v>
      </c>
      <c r="L22" s="38" t="s">
        <v>3391</v>
      </c>
      <c r="M22" s="104" t="s">
        <v>2186</v>
      </c>
      <c r="N22" s="258" t="s">
        <v>3615</v>
      </c>
      <c r="O22" s="82" t="s">
        <v>2731</v>
      </c>
      <c r="P22" s="38" t="s">
        <v>2635</v>
      </c>
      <c r="Q22" s="104" t="s">
        <v>3616</v>
      </c>
      <c r="R22" s="18" t="s">
        <v>3295</v>
      </c>
    </row>
    <row r="23" spans="1:18" ht="12.75">
      <c r="A23" s="82" t="s">
        <v>2210</v>
      </c>
      <c r="B23" s="399" t="s">
        <v>2215</v>
      </c>
      <c r="C23" s="19" t="s">
        <v>3807</v>
      </c>
      <c r="D23" s="95" t="s">
        <v>3617</v>
      </c>
      <c r="E23" s="98" t="s">
        <v>3609</v>
      </c>
      <c r="F23" s="19" t="s">
        <v>125</v>
      </c>
      <c r="G23" s="98" t="s">
        <v>2666</v>
      </c>
      <c r="H23" s="397" t="s">
        <v>131</v>
      </c>
      <c r="I23" s="394" t="s">
        <v>132</v>
      </c>
      <c r="J23" s="352" t="s">
        <v>63</v>
      </c>
      <c r="K23" s="100" t="s">
        <v>132</v>
      </c>
      <c r="L23" s="41" t="s">
        <v>3478</v>
      </c>
      <c r="M23" s="281" t="s">
        <v>2186</v>
      </c>
      <c r="N23" s="265" t="s">
        <v>3361</v>
      </c>
      <c r="O23" s="100" t="s">
        <v>3478</v>
      </c>
      <c r="P23" s="41" t="s">
        <v>2938</v>
      </c>
      <c r="Q23" s="281" t="s">
        <v>3610</v>
      </c>
      <c r="R23" s="19" t="s">
        <v>1906</v>
      </c>
    </row>
    <row r="24" spans="1:18" ht="12.75">
      <c r="A24" s="82"/>
      <c r="B24" s="399"/>
      <c r="C24" s="15"/>
      <c r="D24" s="15"/>
      <c r="E24" s="15"/>
      <c r="F24" s="15"/>
      <c r="G24" s="15"/>
      <c r="H24" s="49"/>
      <c r="I24" s="49"/>
      <c r="J24" s="348"/>
      <c r="K24" s="50"/>
      <c r="L24" s="50"/>
      <c r="M24" s="49"/>
      <c r="N24" s="49"/>
      <c r="O24" s="50"/>
      <c r="P24" s="50"/>
      <c r="Q24" s="49"/>
      <c r="R24" s="15"/>
    </row>
    <row r="25" spans="1:17" ht="15.75">
      <c r="A25" s="82"/>
      <c r="B25" s="399"/>
      <c r="C25" s="526" t="s">
        <v>164</v>
      </c>
      <c r="D25" s="526"/>
      <c r="E25" s="526"/>
      <c r="F25" s="526"/>
      <c r="G25" s="526"/>
      <c r="H25" s="526"/>
      <c r="I25" s="526"/>
      <c r="J25" s="526"/>
      <c r="K25" s="526"/>
      <c r="L25" s="526"/>
      <c r="M25" s="526"/>
      <c r="N25" s="526"/>
      <c r="O25" s="50"/>
      <c r="P25" s="29"/>
      <c r="Q25" s="229"/>
    </row>
    <row r="26" spans="1:18" ht="12.75">
      <c r="A26" s="82" t="s">
        <v>2208</v>
      </c>
      <c r="B26" s="399" t="s">
        <v>3526</v>
      </c>
      <c r="C26" s="83" t="s">
        <v>3797</v>
      </c>
      <c r="D26" s="17" t="s">
        <v>3570</v>
      </c>
      <c r="E26" s="84" t="s">
        <v>798</v>
      </c>
      <c r="F26" s="17" t="s">
        <v>130</v>
      </c>
      <c r="G26" s="84" t="s">
        <v>2469</v>
      </c>
      <c r="H26" s="351" t="s">
        <v>480</v>
      </c>
      <c r="I26" s="393" t="s">
        <v>131</v>
      </c>
      <c r="J26" s="395" t="s">
        <v>63</v>
      </c>
      <c r="K26" s="87" t="s">
        <v>63</v>
      </c>
      <c r="L26" s="35" t="s">
        <v>3391</v>
      </c>
      <c r="M26" s="280" t="s">
        <v>2129</v>
      </c>
      <c r="N26" s="264" t="s">
        <v>2614</v>
      </c>
      <c r="O26" s="87" t="s">
        <v>3391</v>
      </c>
      <c r="P26" s="35" t="s">
        <v>3392</v>
      </c>
      <c r="Q26" s="280" t="s">
        <v>3618</v>
      </c>
      <c r="R26" s="17" t="s">
        <v>51</v>
      </c>
    </row>
    <row r="27" spans="1:18" ht="12.75">
      <c r="A27" s="82" t="s">
        <v>2208</v>
      </c>
      <c r="B27" s="399" t="s">
        <v>3506</v>
      </c>
      <c r="C27" s="92" t="s">
        <v>3810</v>
      </c>
      <c r="D27" s="18" t="s">
        <v>3620</v>
      </c>
      <c r="E27" s="79" t="s">
        <v>676</v>
      </c>
      <c r="F27" s="18" t="s">
        <v>125</v>
      </c>
      <c r="G27" s="79" t="s">
        <v>267</v>
      </c>
      <c r="H27" s="396" t="s">
        <v>120</v>
      </c>
      <c r="I27" s="391" t="s">
        <v>190</v>
      </c>
      <c r="J27" s="396" t="s">
        <v>121</v>
      </c>
      <c r="K27" s="82" t="s">
        <v>121</v>
      </c>
      <c r="L27" s="38" t="s">
        <v>3391</v>
      </c>
      <c r="M27" s="104" t="s">
        <v>2129</v>
      </c>
      <c r="N27" s="258" t="s">
        <v>2938</v>
      </c>
      <c r="O27" s="82" t="s">
        <v>3391</v>
      </c>
      <c r="P27" s="38" t="s">
        <v>3392</v>
      </c>
      <c r="Q27" s="104" t="s">
        <v>3621</v>
      </c>
      <c r="R27" s="18" t="s">
        <v>3622</v>
      </c>
    </row>
    <row r="28" spans="1:18" ht="12.75">
      <c r="A28" s="82" t="s">
        <v>2209</v>
      </c>
      <c r="B28" s="399"/>
      <c r="C28" s="92" t="s">
        <v>3798</v>
      </c>
      <c r="D28" s="18" t="s">
        <v>3574</v>
      </c>
      <c r="E28" s="79" t="s">
        <v>3575</v>
      </c>
      <c r="F28" s="18" t="s">
        <v>31</v>
      </c>
      <c r="G28" s="79" t="s">
        <v>1330</v>
      </c>
      <c r="H28" s="396" t="s">
        <v>64</v>
      </c>
      <c r="I28" s="391" t="s">
        <v>268</v>
      </c>
      <c r="J28" s="396" t="s">
        <v>555</v>
      </c>
      <c r="K28" s="82" t="s">
        <v>555</v>
      </c>
      <c r="L28" s="38" t="s">
        <v>2731</v>
      </c>
      <c r="M28" s="104" t="s">
        <v>2129</v>
      </c>
      <c r="N28" s="258" t="s">
        <v>3506</v>
      </c>
      <c r="O28" s="82" t="s">
        <v>2731</v>
      </c>
      <c r="P28" s="38" t="s">
        <v>2708</v>
      </c>
      <c r="Q28" s="104" t="s">
        <v>3623</v>
      </c>
      <c r="R28" s="18" t="s">
        <v>3624</v>
      </c>
    </row>
    <row r="29" spans="1:18" ht="12.75">
      <c r="A29" s="82" t="s">
        <v>2210</v>
      </c>
      <c r="B29" s="399" t="s">
        <v>2215</v>
      </c>
      <c r="C29" s="92" t="s">
        <v>3811</v>
      </c>
      <c r="D29" s="18" t="s">
        <v>1432</v>
      </c>
      <c r="E29" s="79" t="s">
        <v>3625</v>
      </c>
      <c r="F29" s="18" t="s">
        <v>125</v>
      </c>
      <c r="G29" s="79" t="s">
        <v>143</v>
      </c>
      <c r="H29" s="396" t="s">
        <v>64</v>
      </c>
      <c r="I29" s="391" t="s">
        <v>183</v>
      </c>
      <c r="J29" s="362" t="s">
        <v>555</v>
      </c>
      <c r="K29" s="82" t="s">
        <v>183</v>
      </c>
      <c r="L29" s="38" t="s">
        <v>3478</v>
      </c>
      <c r="M29" s="104" t="s">
        <v>2129</v>
      </c>
      <c r="N29" s="258" t="s">
        <v>3506</v>
      </c>
      <c r="O29" s="82" t="s">
        <v>3478</v>
      </c>
      <c r="P29" s="38" t="s">
        <v>2938</v>
      </c>
      <c r="Q29" s="104" t="s">
        <v>3626</v>
      </c>
      <c r="R29" s="18" t="s">
        <v>1906</v>
      </c>
    </row>
    <row r="30" spans="1:18" ht="12.75">
      <c r="A30" s="82" t="s">
        <v>2208</v>
      </c>
      <c r="B30" s="399" t="s">
        <v>3506</v>
      </c>
      <c r="C30" s="92" t="s">
        <v>3810</v>
      </c>
      <c r="D30" s="18" t="s">
        <v>3627</v>
      </c>
      <c r="E30" s="79" t="s">
        <v>676</v>
      </c>
      <c r="F30" s="18" t="s">
        <v>125</v>
      </c>
      <c r="G30" s="79" t="s">
        <v>267</v>
      </c>
      <c r="H30" s="396" t="s">
        <v>120</v>
      </c>
      <c r="I30" s="391" t="s">
        <v>190</v>
      </c>
      <c r="J30" s="396" t="s">
        <v>121</v>
      </c>
      <c r="K30" s="82" t="s">
        <v>121</v>
      </c>
      <c r="L30" s="38" t="s">
        <v>3391</v>
      </c>
      <c r="M30" s="104" t="s">
        <v>2129</v>
      </c>
      <c r="N30" s="258" t="s">
        <v>2938</v>
      </c>
      <c r="O30" s="82" t="s">
        <v>3391</v>
      </c>
      <c r="P30" s="38" t="s">
        <v>3392</v>
      </c>
      <c r="Q30" s="104" t="s">
        <v>3621</v>
      </c>
      <c r="R30" s="18" t="s">
        <v>3622</v>
      </c>
    </row>
    <row r="31" spans="1:18" ht="12.75">
      <c r="A31" s="82" t="s">
        <v>2208</v>
      </c>
      <c r="B31" s="399" t="s">
        <v>3526</v>
      </c>
      <c r="C31" s="94" t="s">
        <v>3409</v>
      </c>
      <c r="D31" s="19" t="s">
        <v>3410</v>
      </c>
      <c r="E31" s="98" t="s">
        <v>3411</v>
      </c>
      <c r="F31" s="19" t="s">
        <v>125</v>
      </c>
      <c r="G31" s="98" t="s">
        <v>3404</v>
      </c>
      <c r="H31" s="397" t="s">
        <v>88</v>
      </c>
      <c r="I31" s="350" t="s">
        <v>447</v>
      </c>
      <c r="J31" s="352" t="s">
        <v>447</v>
      </c>
      <c r="K31" s="100" t="s">
        <v>88</v>
      </c>
      <c r="L31" s="41" t="s">
        <v>3391</v>
      </c>
      <c r="M31" s="281" t="s">
        <v>2129</v>
      </c>
      <c r="N31" s="265" t="s">
        <v>3218</v>
      </c>
      <c r="O31" s="100" t="s">
        <v>3391</v>
      </c>
      <c r="P31" s="41" t="s">
        <v>3392</v>
      </c>
      <c r="Q31" s="281" t="s">
        <v>3628</v>
      </c>
      <c r="R31" s="19" t="s">
        <v>1906</v>
      </c>
    </row>
    <row r="32" spans="1:17" ht="12.75">
      <c r="A32" s="82"/>
      <c r="B32" s="399"/>
      <c r="C32" s="15"/>
      <c r="D32" s="15"/>
      <c r="E32" s="15"/>
      <c r="F32" s="15"/>
      <c r="G32" s="15"/>
      <c r="H32" s="49"/>
      <c r="I32" s="49"/>
      <c r="J32" s="49"/>
      <c r="K32" s="50"/>
      <c r="L32" s="50"/>
      <c r="M32" s="49"/>
      <c r="N32" s="49"/>
      <c r="O32" s="50"/>
      <c r="P32" s="29"/>
      <c r="Q32" s="229"/>
    </row>
    <row r="33" spans="1:17" ht="15.75">
      <c r="A33" s="82"/>
      <c r="B33" s="399"/>
      <c r="C33" s="526" t="s">
        <v>227</v>
      </c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0"/>
      <c r="P33" s="29"/>
      <c r="Q33" s="229"/>
    </row>
    <row r="34" spans="1:18" ht="12.75">
      <c r="A34" s="82" t="s">
        <v>2208</v>
      </c>
      <c r="B34" s="399" t="s">
        <v>3506</v>
      </c>
      <c r="C34" s="83" t="s">
        <v>3812</v>
      </c>
      <c r="D34" s="17" t="s">
        <v>3629</v>
      </c>
      <c r="E34" s="84" t="s">
        <v>3630</v>
      </c>
      <c r="F34" s="17" t="s">
        <v>125</v>
      </c>
      <c r="G34" s="84" t="s">
        <v>1225</v>
      </c>
      <c r="H34" s="395" t="s">
        <v>190</v>
      </c>
      <c r="I34" s="393" t="s">
        <v>121</v>
      </c>
      <c r="J34" s="351" t="s">
        <v>818</v>
      </c>
      <c r="K34" s="87" t="s">
        <v>121</v>
      </c>
      <c r="L34" s="35" t="s">
        <v>3391</v>
      </c>
      <c r="M34" s="280" t="s">
        <v>3337</v>
      </c>
      <c r="N34" s="264" t="s">
        <v>2718</v>
      </c>
      <c r="O34" s="87" t="s">
        <v>3391</v>
      </c>
      <c r="P34" s="35" t="s">
        <v>3392</v>
      </c>
      <c r="Q34" s="280" t="s">
        <v>3631</v>
      </c>
      <c r="R34" s="17" t="s">
        <v>1906</v>
      </c>
    </row>
    <row r="35" spans="1:18" ht="12.75">
      <c r="A35" s="82" t="s">
        <v>2209</v>
      </c>
      <c r="B35" s="399" t="s">
        <v>3493</v>
      </c>
      <c r="C35" s="92" t="s">
        <v>3804</v>
      </c>
      <c r="D35" s="18" t="s">
        <v>3596</v>
      </c>
      <c r="E35" s="79" t="s">
        <v>300</v>
      </c>
      <c r="F35" s="18" t="s">
        <v>125</v>
      </c>
      <c r="G35" s="79" t="s">
        <v>1410</v>
      </c>
      <c r="H35" s="396" t="s">
        <v>153</v>
      </c>
      <c r="I35" s="391" t="s">
        <v>269</v>
      </c>
      <c r="J35" s="362" t="s">
        <v>175</v>
      </c>
      <c r="K35" s="82" t="s">
        <v>269</v>
      </c>
      <c r="L35" s="38" t="s">
        <v>2731</v>
      </c>
      <c r="M35" s="104" t="s">
        <v>3337</v>
      </c>
      <c r="N35" s="258" t="s">
        <v>3351</v>
      </c>
      <c r="O35" s="82" t="s">
        <v>3478</v>
      </c>
      <c r="P35" s="38" t="s">
        <v>3558</v>
      </c>
      <c r="Q35" s="104" t="s">
        <v>3632</v>
      </c>
      <c r="R35" s="18" t="s">
        <v>1906</v>
      </c>
    </row>
    <row r="36" spans="1:18" ht="12.75">
      <c r="A36" s="82" t="s">
        <v>2210</v>
      </c>
      <c r="B36" s="399" t="s">
        <v>3391</v>
      </c>
      <c r="C36" s="92" t="s">
        <v>3813</v>
      </c>
      <c r="D36" s="18" t="s">
        <v>3633</v>
      </c>
      <c r="E36" s="79" t="s">
        <v>3634</v>
      </c>
      <c r="F36" s="18" t="s">
        <v>483</v>
      </c>
      <c r="G36" s="79" t="s">
        <v>2980</v>
      </c>
      <c r="H36" s="396" t="s">
        <v>269</v>
      </c>
      <c r="I36" s="392" t="s">
        <v>350</v>
      </c>
      <c r="J36" s="362" t="s">
        <v>350</v>
      </c>
      <c r="K36" s="82" t="s">
        <v>269</v>
      </c>
      <c r="L36" s="38" t="s">
        <v>3478</v>
      </c>
      <c r="M36" s="104" t="s">
        <v>3337</v>
      </c>
      <c r="N36" s="258" t="s">
        <v>2681</v>
      </c>
      <c r="O36" s="82" t="s">
        <v>2731</v>
      </c>
      <c r="P36" s="38" t="s">
        <v>3558</v>
      </c>
      <c r="Q36" s="104" t="s">
        <v>3635</v>
      </c>
      <c r="R36" s="18" t="s">
        <v>3636</v>
      </c>
    </row>
    <row r="37" spans="1:18" ht="12.75">
      <c r="A37" s="82" t="s">
        <v>2208</v>
      </c>
      <c r="B37" s="399" t="s">
        <v>3526</v>
      </c>
      <c r="C37" s="94" t="s">
        <v>3814</v>
      </c>
      <c r="D37" s="19" t="s">
        <v>3314</v>
      </c>
      <c r="E37" s="98" t="s">
        <v>3315</v>
      </c>
      <c r="F37" s="19" t="s">
        <v>125</v>
      </c>
      <c r="G37" s="98" t="s">
        <v>3316</v>
      </c>
      <c r="H37" s="397" t="s">
        <v>64</v>
      </c>
      <c r="I37" s="394" t="s">
        <v>153</v>
      </c>
      <c r="J37" s="397" t="s">
        <v>126</v>
      </c>
      <c r="K37" s="100" t="s">
        <v>126</v>
      </c>
      <c r="L37" s="41" t="s">
        <v>3391</v>
      </c>
      <c r="M37" s="281" t="s">
        <v>3337</v>
      </c>
      <c r="N37" s="265" t="s">
        <v>3351</v>
      </c>
      <c r="O37" s="100" t="s">
        <v>3391</v>
      </c>
      <c r="P37" s="41" t="s">
        <v>3392</v>
      </c>
      <c r="Q37" s="281" t="s">
        <v>3637</v>
      </c>
      <c r="R37" s="19" t="s">
        <v>1906</v>
      </c>
    </row>
    <row r="38" spans="1:17" ht="12.75">
      <c r="A38" s="82"/>
      <c r="B38" s="399"/>
      <c r="C38" s="15"/>
      <c r="D38" s="15"/>
      <c r="E38" s="15"/>
      <c r="F38" s="15"/>
      <c r="G38" s="15"/>
      <c r="H38" s="49"/>
      <c r="I38" s="49"/>
      <c r="J38" s="49"/>
      <c r="K38" s="50"/>
      <c r="L38" s="50"/>
      <c r="M38" s="49"/>
      <c r="N38" s="49"/>
      <c r="O38" s="50"/>
      <c r="P38" s="29"/>
      <c r="Q38" s="229"/>
    </row>
    <row r="39" spans="1:17" ht="15.75">
      <c r="A39" s="82"/>
      <c r="B39" s="399"/>
      <c r="C39" s="526" t="s">
        <v>3319</v>
      </c>
      <c r="D39" s="526"/>
      <c r="E39" s="526"/>
      <c r="F39" s="526"/>
      <c r="G39" s="526"/>
      <c r="H39" s="526"/>
      <c r="I39" s="526"/>
      <c r="J39" s="526"/>
      <c r="K39" s="526"/>
      <c r="L39" s="526"/>
      <c r="M39" s="526"/>
      <c r="N39" s="526"/>
      <c r="O39" s="50"/>
      <c r="P39" s="29"/>
      <c r="Q39" s="229"/>
    </row>
    <row r="40" spans="1:18" ht="12.75">
      <c r="A40" s="82" t="s">
        <v>2208</v>
      </c>
      <c r="B40" s="399" t="s">
        <v>3489</v>
      </c>
      <c r="C40" s="17" t="s">
        <v>3815</v>
      </c>
      <c r="D40" s="17" t="s">
        <v>2739</v>
      </c>
      <c r="E40" s="84" t="s">
        <v>737</v>
      </c>
      <c r="F40" s="17" t="s">
        <v>125</v>
      </c>
      <c r="G40" s="84" t="s">
        <v>3614</v>
      </c>
      <c r="H40" s="351" t="s">
        <v>191</v>
      </c>
      <c r="I40" s="349" t="s">
        <v>191</v>
      </c>
      <c r="J40" s="395" t="s">
        <v>191</v>
      </c>
      <c r="K40" s="87" t="s">
        <v>191</v>
      </c>
      <c r="L40" s="35" t="s">
        <v>3391</v>
      </c>
      <c r="M40" s="280" t="s">
        <v>3582</v>
      </c>
      <c r="N40" s="264" t="s">
        <v>2698</v>
      </c>
      <c r="O40" s="87" t="s">
        <v>3391</v>
      </c>
      <c r="P40" s="35" t="s">
        <v>3392</v>
      </c>
      <c r="Q40" s="280" t="s">
        <v>3638</v>
      </c>
      <c r="R40" s="17" t="s">
        <v>1906</v>
      </c>
    </row>
    <row r="41" spans="1:18" ht="12.75">
      <c r="A41" s="82" t="s">
        <v>2209</v>
      </c>
      <c r="B41" s="399" t="s">
        <v>3493</v>
      </c>
      <c r="C41" s="18" t="s">
        <v>3816</v>
      </c>
      <c r="D41" s="18" t="s">
        <v>3639</v>
      </c>
      <c r="E41" s="79" t="s">
        <v>3640</v>
      </c>
      <c r="F41" s="18" t="s">
        <v>483</v>
      </c>
      <c r="G41" s="79" t="s">
        <v>2980</v>
      </c>
      <c r="H41" s="396" t="s">
        <v>64</v>
      </c>
      <c r="I41" s="391" t="s">
        <v>153</v>
      </c>
      <c r="J41" s="362" t="s">
        <v>126</v>
      </c>
      <c r="K41" s="82" t="s">
        <v>153</v>
      </c>
      <c r="L41" s="38" t="s">
        <v>2731</v>
      </c>
      <c r="M41" s="104" t="s">
        <v>3582</v>
      </c>
      <c r="N41" s="258" t="s">
        <v>2756</v>
      </c>
      <c r="O41" s="82" t="s">
        <v>2731</v>
      </c>
      <c r="P41" s="38" t="s">
        <v>2708</v>
      </c>
      <c r="Q41" s="104" t="s">
        <v>3641</v>
      </c>
      <c r="R41" s="18" t="s">
        <v>1906</v>
      </c>
    </row>
    <row r="42" spans="1:18" ht="12.75">
      <c r="A42" s="82" t="s">
        <v>2210</v>
      </c>
      <c r="B42" s="399" t="s">
        <v>2215</v>
      </c>
      <c r="C42" s="18" t="s">
        <v>3800</v>
      </c>
      <c r="D42" s="18" t="s">
        <v>3581</v>
      </c>
      <c r="E42" s="79" t="s">
        <v>336</v>
      </c>
      <c r="F42" s="18" t="s">
        <v>125</v>
      </c>
      <c r="G42" s="79" t="s">
        <v>1643</v>
      </c>
      <c r="H42" s="396" t="s">
        <v>64</v>
      </c>
      <c r="I42" s="392" t="s">
        <v>153</v>
      </c>
      <c r="J42" s="396" t="s">
        <v>153</v>
      </c>
      <c r="K42" s="82" t="s">
        <v>153</v>
      </c>
      <c r="L42" s="38" t="s">
        <v>3478</v>
      </c>
      <c r="M42" s="104" t="s">
        <v>3582</v>
      </c>
      <c r="N42" s="258" t="s">
        <v>3563</v>
      </c>
      <c r="O42" s="82" t="s">
        <v>3478</v>
      </c>
      <c r="P42" s="38" t="s">
        <v>2938</v>
      </c>
      <c r="Q42" s="104" t="s">
        <v>3642</v>
      </c>
      <c r="R42" s="18" t="s">
        <v>1906</v>
      </c>
    </row>
    <row r="43" spans="1:18" ht="12.75">
      <c r="A43" s="82" t="s">
        <v>2208</v>
      </c>
      <c r="B43" s="399" t="s">
        <v>3526</v>
      </c>
      <c r="C43" s="19" t="s">
        <v>3800</v>
      </c>
      <c r="D43" s="19" t="s">
        <v>3419</v>
      </c>
      <c r="E43" s="98" t="s">
        <v>336</v>
      </c>
      <c r="F43" s="19" t="s">
        <v>125</v>
      </c>
      <c r="G43" s="98" t="s">
        <v>1643</v>
      </c>
      <c r="H43" s="397" t="s">
        <v>64</v>
      </c>
      <c r="I43" s="350" t="s">
        <v>153</v>
      </c>
      <c r="J43" s="397" t="s">
        <v>153</v>
      </c>
      <c r="K43" s="100" t="s">
        <v>153</v>
      </c>
      <c r="L43" s="41" t="s">
        <v>3391</v>
      </c>
      <c r="M43" s="281" t="s">
        <v>3582</v>
      </c>
      <c r="N43" s="265" t="s">
        <v>3563</v>
      </c>
      <c r="O43" s="100" t="s">
        <v>3391</v>
      </c>
      <c r="P43" s="41" t="s">
        <v>3392</v>
      </c>
      <c r="Q43" s="281" t="s">
        <v>3642</v>
      </c>
      <c r="R43" s="19" t="s">
        <v>1906</v>
      </c>
    </row>
    <row r="44" spans="1:17" ht="12.75">
      <c r="A44" s="82"/>
      <c r="B44" s="399"/>
      <c r="C44" s="15"/>
      <c r="D44" s="15"/>
      <c r="E44" s="15"/>
      <c r="F44" s="15"/>
      <c r="G44" s="15"/>
      <c r="H44" s="49"/>
      <c r="I44" s="49"/>
      <c r="J44" s="49"/>
      <c r="K44" s="50"/>
      <c r="L44" s="50"/>
      <c r="M44" s="49"/>
      <c r="N44" s="49"/>
      <c r="O44" s="50"/>
      <c r="P44" s="29"/>
      <c r="Q44" s="229"/>
    </row>
    <row r="45" spans="1:17" ht="18">
      <c r="A45" s="50"/>
      <c r="B45" s="402"/>
      <c r="C45" s="16" t="s">
        <v>370</v>
      </c>
      <c r="D45" s="16"/>
      <c r="E45" s="15"/>
      <c r="F45" s="15"/>
      <c r="G45" s="15"/>
      <c r="H45" s="49"/>
      <c r="I45" s="49"/>
      <c r="J45" s="49"/>
      <c r="K45" s="50"/>
      <c r="L45" s="50"/>
      <c r="M45" s="49"/>
      <c r="N45" s="49"/>
      <c r="O45" s="50"/>
      <c r="P45" s="29"/>
      <c r="Q45" s="229"/>
    </row>
    <row r="46" spans="1:17" ht="18">
      <c r="A46" s="50"/>
      <c r="B46" s="402"/>
      <c r="C46" s="272" t="s">
        <v>3323</v>
      </c>
      <c r="D46" s="15"/>
      <c r="E46" s="15"/>
      <c r="F46" s="15"/>
      <c r="G46" s="15"/>
      <c r="H46" s="49"/>
      <c r="I46" s="49"/>
      <c r="J46" s="49"/>
      <c r="K46" s="50"/>
      <c r="L46" s="50"/>
      <c r="M46" s="49"/>
      <c r="N46" s="49"/>
      <c r="O46" s="50"/>
      <c r="P46" s="29"/>
      <c r="Q46" s="229"/>
    </row>
    <row r="47" spans="1:17" ht="12.75">
      <c r="A47" s="50"/>
      <c r="B47" s="402"/>
      <c r="C47" s="15"/>
      <c r="D47" s="15"/>
      <c r="E47" s="15"/>
      <c r="F47" s="15"/>
      <c r="G47" s="15"/>
      <c r="H47" s="49"/>
      <c r="I47" s="49"/>
      <c r="J47" s="49"/>
      <c r="K47" s="50"/>
      <c r="L47" s="50"/>
      <c r="M47" s="49"/>
      <c r="N47" s="49"/>
      <c r="O47" s="50"/>
      <c r="P47" s="29"/>
      <c r="Q47" s="229"/>
    </row>
    <row r="48" spans="1:17" ht="13.5">
      <c r="A48" s="50"/>
      <c r="B48" s="402"/>
      <c r="C48" s="26" t="s">
        <v>373</v>
      </c>
      <c r="D48" s="181" t="s">
        <v>374</v>
      </c>
      <c r="E48" s="181" t="s">
        <v>3286</v>
      </c>
      <c r="F48" s="181" t="s">
        <v>377</v>
      </c>
      <c r="G48" s="15"/>
      <c r="H48" s="49"/>
      <c r="I48" s="49"/>
      <c r="J48" s="49"/>
      <c r="K48" s="50"/>
      <c r="L48" s="50"/>
      <c r="M48" s="49"/>
      <c r="N48" s="49"/>
      <c r="O48" s="50"/>
      <c r="P48" s="29"/>
      <c r="Q48" s="229"/>
    </row>
    <row r="49" spans="1:17" ht="12.75">
      <c r="A49" s="50" t="s">
        <v>2208</v>
      </c>
      <c r="B49" s="402"/>
      <c r="C49" s="15" t="s">
        <v>3619</v>
      </c>
      <c r="D49" s="49" t="s">
        <v>3189</v>
      </c>
      <c r="E49" s="49" t="s">
        <v>676</v>
      </c>
      <c r="F49" s="49" t="s">
        <v>3621</v>
      </c>
      <c r="G49" s="15"/>
      <c r="H49" s="49"/>
      <c r="I49" s="49"/>
      <c r="J49" s="49"/>
      <c r="K49" s="50"/>
      <c r="L49" s="50"/>
      <c r="M49" s="49"/>
      <c r="N49" s="49"/>
      <c r="O49" s="50"/>
      <c r="P49" s="29"/>
      <c r="Q49" s="229"/>
    </row>
    <row r="50" spans="1:17" ht="12.75">
      <c r="A50" s="50" t="s">
        <v>2209</v>
      </c>
      <c r="B50" s="402"/>
      <c r="C50" s="15" t="s">
        <v>2668</v>
      </c>
      <c r="D50" s="49" t="s">
        <v>3189</v>
      </c>
      <c r="E50" s="49" t="s">
        <v>824</v>
      </c>
      <c r="F50" s="49" t="s">
        <v>3616</v>
      </c>
      <c r="G50" s="15"/>
      <c r="H50" s="49"/>
      <c r="I50" s="49"/>
      <c r="J50" s="49"/>
      <c r="K50" s="50"/>
      <c r="L50" s="50"/>
      <c r="M50" s="49"/>
      <c r="N50" s="49"/>
      <c r="O50" s="50"/>
      <c r="P50" s="29"/>
      <c r="Q50" s="229"/>
    </row>
    <row r="51" spans="1:17" ht="12.75">
      <c r="A51" s="50" t="s">
        <v>2210</v>
      </c>
      <c r="B51" s="402"/>
      <c r="C51" s="15" t="s">
        <v>2738</v>
      </c>
      <c r="D51" s="49" t="s">
        <v>3189</v>
      </c>
      <c r="E51" s="49" t="s">
        <v>737</v>
      </c>
      <c r="F51" s="49" t="s">
        <v>3638</v>
      </c>
      <c r="G51" s="15"/>
      <c r="H51" s="49"/>
      <c r="I51" s="49"/>
      <c r="J51" s="49"/>
      <c r="K51" s="50"/>
      <c r="L51" s="50"/>
      <c r="M51" s="49"/>
      <c r="N51" s="49"/>
      <c r="O51" s="50"/>
      <c r="P51" s="29"/>
      <c r="Q51" s="229"/>
    </row>
    <row r="52" spans="1:17" ht="12.75">
      <c r="A52" s="50"/>
      <c r="B52" s="402"/>
      <c r="C52" s="15"/>
      <c r="D52" s="49"/>
      <c r="E52" s="49"/>
      <c r="F52" s="49"/>
      <c r="G52" s="15"/>
      <c r="H52" s="49"/>
      <c r="I52" s="49"/>
      <c r="J52" s="49"/>
      <c r="K52" s="50"/>
      <c r="L52" s="50"/>
      <c r="M52" s="49"/>
      <c r="N52" s="49"/>
      <c r="O52" s="50"/>
      <c r="P52" s="29"/>
      <c r="Q52" s="229"/>
    </row>
    <row r="53" spans="1:17" ht="12.75">
      <c r="A53" s="50"/>
      <c r="B53" s="402"/>
      <c r="C53" s="15"/>
      <c r="D53" s="49"/>
      <c r="E53" s="49"/>
      <c r="F53" s="49"/>
      <c r="G53" s="15"/>
      <c r="H53" s="49"/>
      <c r="I53" s="49"/>
      <c r="J53" s="49"/>
      <c r="K53" s="50"/>
      <c r="L53" s="50"/>
      <c r="M53" s="49"/>
      <c r="N53" s="49"/>
      <c r="O53" s="50"/>
      <c r="P53" s="29"/>
      <c r="Q53" s="229"/>
    </row>
    <row r="54" spans="1:17" ht="13.5">
      <c r="A54" s="50"/>
      <c r="B54" s="402"/>
      <c r="C54" s="26" t="s">
        <v>373</v>
      </c>
      <c r="D54" s="181" t="s">
        <v>374</v>
      </c>
      <c r="E54" s="181" t="s">
        <v>3286</v>
      </c>
      <c r="F54" s="181" t="s">
        <v>377</v>
      </c>
      <c r="G54" s="15"/>
      <c r="H54" s="49"/>
      <c r="I54" s="49"/>
      <c r="J54" s="49"/>
      <c r="K54" s="50"/>
      <c r="L54" s="50"/>
      <c r="M54" s="49"/>
      <c r="N54" s="49"/>
      <c r="O54" s="50"/>
      <c r="P54" s="29"/>
      <c r="Q54" s="229"/>
    </row>
    <row r="55" spans="1:17" ht="12.75">
      <c r="A55" s="50" t="s">
        <v>2208</v>
      </c>
      <c r="B55" s="402"/>
      <c r="C55" s="15" t="s">
        <v>3619</v>
      </c>
      <c r="D55" s="49" t="s">
        <v>3458</v>
      </c>
      <c r="E55" s="49" t="s">
        <v>676</v>
      </c>
      <c r="F55" s="49" t="s">
        <v>3621</v>
      </c>
      <c r="G55" s="15"/>
      <c r="H55" s="49"/>
      <c r="I55" s="49"/>
      <c r="J55" s="49"/>
      <c r="K55" s="50"/>
      <c r="L55" s="50"/>
      <c r="M55" s="49"/>
      <c r="N55" s="49"/>
      <c r="O55" s="50"/>
      <c r="P55" s="29"/>
      <c r="Q55" s="229"/>
    </row>
    <row r="56" spans="1:17" ht="12.75">
      <c r="A56" s="50" t="s">
        <v>2209</v>
      </c>
      <c r="B56" s="402"/>
      <c r="C56" s="15" t="s">
        <v>3313</v>
      </c>
      <c r="D56" s="49" t="s">
        <v>3460</v>
      </c>
      <c r="E56" s="49" t="s">
        <v>3315</v>
      </c>
      <c r="F56" s="49" t="s">
        <v>3637</v>
      </c>
      <c r="G56" s="15"/>
      <c r="H56" s="49"/>
      <c r="I56" s="49"/>
      <c r="J56" s="49"/>
      <c r="K56" s="50"/>
      <c r="L56" s="50"/>
      <c r="M56" s="49"/>
      <c r="N56" s="49"/>
      <c r="O56" s="50"/>
      <c r="P56" s="29"/>
      <c r="Q56" s="229"/>
    </row>
    <row r="57" spans="1:17" ht="12.75">
      <c r="A57" s="50" t="s">
        <v>2210</v>
      </c>
      <c r="B57" s="402"/>
      <c r="C57" s="15" t="s">
        <v>3418</v>
      </c>
      <c r="D57" s="49" t="s">
        <v>3460</v>
      </c>
      <c r="E57" s="49" t="s">
        <v>336</v>
      </c>
      <c r="F57" s="49" t="s">
        <v>3642</v>
      </c>
      <c r="G57" s="15"/>
      <c r="H57" s="49"/>
      <c r="I57" s="49"/>
      <c r="J57" s="49"/>
      <c r="K57" s="50"/>
      <c r="L57" s="50"/>
      <c r="M57" s="49"/>
      <c r="N57" s="49"/>
      <c r="O57" s="50"/>
      <c r="P57" s="29"/>
      <c r="Q57" s="229"/>
    </row>
    <row r="58" spans="1:17" ht="12.75">
      <c r="A58" s="50"/>
      <c r="B58" s="402"/>
      <c r="C58" s="15"/>
      <c r="D58" s="15"/>
      <c r="E58" s="15"/>
      <c r="F58" s="15"/>
      <c r="G58" s="15"/>
      <c r="H58" s="49"/>
      <c r="I58" s="49"/>
      <c r="J58" s="49"/>
      <c r="K58" s="50"/>
      <c r="L58" s="50"/>
      <c r="M58" s="49"/>
      <c r="N58" s="49"/>
      <c r="O58" s="50"/>
      <c r="P58" s="29"/>
      <c r="Q58" s="229"/>
    </row>
    <row r="59" spans="1:17" ht="12.75">
      <c r="A59" s="50"/>
      <c r="B59" s="402"/>
      <c r="C59" s="15"/>
      <c r="D59" s="15"/>
      <c r="E59" s="15"/>
      <c r="F59" s="15"/>
      <c r="G59" s="15"/>
      <c r="H59" s="49"/>
      <c r="I59" s="49"/>
      <c r="J59" s="49"/>
      <c r="K59" s="50"/>
      <c r="L59" s="50"/>
      <c r="M59" s="49"/>
      <c r="N59" s="49"/>
      <c r="O59" s="50"/>
      <c r="P59" s="29"/>
      <c r="Q59" s="229"/>
    </row>
    <row r="60" spans="1:17" ht="12.75">
      <c r="A60" s="50"/>
      <c r="B60" s="402"/>
      <c r="C60" s="15"/>
      <c r="D60" s="15"/>
      <c r="E60" s="15"/>
      <c r="F60" s="15"/>
      <c r="G60" s="15"/>
      <c r="H60" s="49"/>
      <c r="I60" s="49"/>
      <c r="J60" s="49"/>
      <c r="K60" s="50"/>
      <c r="L60" s="50"/>
      <c r="M60" s="49"/>
      <c r="N60" s="49"/>
      <c r="O60" s="50"/>
      <c r="P60" s="29"/>
      <c r="Q60" s="229"/>
    </row>
    <row r="61" spans="1:17" ht="12.75">
      <c r="A61" s="50"/>
      <c r="B61" s="402"/>
      <c r="C61" s="15"/>
      <c r="D61" s="15"/>
      <c r="E61" s="15"/>
      <c r="F61" s="15"/>
      <c r="G61" s="15"/>
      <c r="H61" s="49"/>
      <c r="I61" s="49"/>
      <c r="J61" s="49"/>
      <c r="K61" s="50"/>
      <c r="L61" s="50"/>
      <c r="M61" s="49"/>
      <c r="N61" s="49"/>
      <c r="O61" s="50"/>
      <c r="P61" s="29"/>
      <c r="Q61" s="229"/>
    </row>
    <row r="62" spans="1:17" ht="12.75">
      <c r="A62" s="50"/>
      <c r="B62" s="402"/>
      <c r="C62" s="15"/>
      <c r="D62" s="15"/>
      <c r="E62" s="15"/>
      <c r="F62" s="15"/>
      <c r="G62" s="15"/>
      <c r="H62" s="49"/>
      <c r="I62" s="49"/>
      <c r="J62" s="49"/>
      <c r="K62" s="50"/>
      <c r="L62" s="50"/>
      <c r="M62" s="49"/>
      <c r="N62" s="49"/>
      <c r="O62" s="50"/>
      <c r="P62" s="29"/>
      <c r="Q62" s="229"/>
    </row>
    <row r="63" spans="1:17" ht="12.75">
      <c r="A63" s="50"/>
      <c r="B63" s="402"/>
      <c r="C63" s="15"/>
      <c r="D63" s="15"/>
      <c r="E63" s="15"/>
      <c r="F63" s="15"/>
      <c r="G63" s="15"/>
      <c r="H63" s="49"/>
      <c r="I63" s="49"/>
      <c r="J63" s="49"/>
      <c r="K63" s="50"/>
      <c r="L63" s="50"/>
      <c r="M63" s="49"/>
      <c r="N63" s="49"/>
      <c r="O63" s="50"/>
      <c r="P63" s="29"/>
      <c r="Q63" s="229"/>
    </row>
    <row r="64" spans="1:17" ht="12.75">
      <c r="A64" s="50"/>
      <c r="B64" s="402"/>
      <c r="C64" s="15"/>
      <c r="D64" s="15"/>
      <c r="E64" s="15"/>
      <c r="F64" s="15"/>
      <c r="G64" s="15"/>
      <c r="H64" s="49"/>
      <c r="I64" s="49"/>
      <c r="J64" s="49"/>
      <c r="K64" s="50"/>
      <c r="L64" s="50"/>
      <c r="M64" s="49"/>
      <c r="N64" s="49"/>
      <c r="O64" s="50"/>
      <c r="P64" s="29"/>
      <c r="Q64" s="229"/>
    </row>
    <row r="65" spans="1:17" ht="12.75">
      <c r="A65" s="50"/>
      <c r="B65" s="402"/>
      <c r="C65" s="15"/>
      <c r="D65" s="15"/>
      <c r="E65" s="15"/>
      <c r="F65" s="15"/>
      <c r="G65" s="15"/>
      <c r="H65" s="49"/>
      <c r="I65" s="49"/>
      <c r="J65" s="49"/>
      <c r="K65" s="50"/>
      <c r="L65" s="50"/>
      <c r="M65" s="49"/>
      <c r="N65" s="49"/>
      <c r="O65" s="50"/>
      <c r="P65" s="29"/>
      <c r="Q65" s="229"/>
    </row>
  </sheetData>
  <sheetProtection/>
  <mergeCells count="24">
    <mergeCell ref="C5:N5"/>
    <mergeCell ref="C39:N39"/>
    <mergeCell ref="C8:N8"/>
    <mergeCell ref="C12:N12"/>
    <mergeCell ref="C16:N16"/>
    <mergeCell ref="C19:N19"/>
    <mergeCell ref="C25:N25"/>
    <mergeCell ref="C33:N33"/>
    <mergeCell ref="L3:L4"/>
    <mergeCell ref="M3:N3"/>
    <mergeCell ref="O3:O4"/>
    <mergeCell ref="P3:P4"/>
    <mergeCell ref="Q3:Q4"/>
    <mergeCell ref="R3:R4"/>
    <mergeCell ref="B3:B4"/>
    <mergeCell ref="C1:O1"/>
    <mergeCell ref="C2:O2"/>
    <mergeCell ref="A3:A4"/>
    <mergeCell ref="C3:C4"/>
    <mergeCell ref="E3:E4"/>
    <mergeCell ref="F3:F4"/>
    <mergeCell ref="G3:G4"/>
    <mergeCell ref="H3:J3"/>
    <mergeCell ref="K3:K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3" sqref="A3:L4"/>
    </sheetView>
  </sheetViews>
  <sheetFormatPr defaultColWidth="11.375" defaultRowHeight="12.75"/>
  <cols>
    <col min="1" max="1" width="7.625" style="0" customWidth="1"/>
    <col min="2" max="2" width="10.875" style="409" customWidth="1"/>
    <col min="3" max="3" width="23.75390625" style="0" customWidth="1"/>
    <col min="4" max="4" width="26.875" style="0" customWidth="1"/>
    <col min="5" max="5" width="15.875" style="409" customWidth="1"/>
    <col min="6" max="6" width="11.375" style="0" customWidth="1"/>
    <col min="7" max="7" width="21.75390625" style="0" customWidth="1"/>
    <col min="8" max="11" width="11.375" style="0" customWidth="1"/>
    <col min="12" max="12" width="16.625" style="0" customWidth="1"/>
  </cols>
  <sheetData>
    <row r="1" spans="1:12" ht="57.75" customHeight="1">
      <c r="A1" s="104"/>
      <c r="B1" s="433"/>
      <c r="C1" s="509" t="s">
        <v>3540</v>
      </c>
      <c r="D1" s="509"/>
      <c r="E1" s="509"/>
      <c r="F1" s="509"/>
      <c r="G1" s="509"/>
      <c r="H1" s="509"/>
      <c r="I1" s="509"/>
      <c r="J1" s="509"/>
      <c r="K1" s="509"/>
      <c r="L1" s="509"/>
    </row>
    <row r="2" spans="1:12" ht="30" thickBot="1">
      <c r="A2" s="104"/>
      <c r="B2" s="433"/>
      <c r="C2" s="509" t="s">
        <v>3283</v>
      </c>
      <c r="D2" s="509"/>
      <c r="E2" s="509"/>
      <c r="F2" s="509"/>
      <c r="G2" s="509"/>
      <c r="H2" s="509"/>
      <c r="I2" s="509"/>
      <c r="J2" s="509"/>
      <c r="K2" s="509"/>
      <c r="L2" s="509"/>
    </row>
    <row r="3" spans="1:12" ht="15" customHeight="1">
      <c r="A3" s="512" t="s">
        <v>1627</v>
      </c>
      <c r="B3" s="516" t="s">
        <v>4516</v>
      </c>
      <c r="C3" s="514" t="s">
        <v>0</v>
      </c>
      <c r="D3" s="454" t="s">
        <v>3284</v>
      </c>
      <c r="E3" s="516" t="s">
        <v>3286</v>
      </c>
      <c r="F3" s="514" t="s">
        <v>7</v>
      </c>
      <c r="G3" s="514" t="s">
        <v>3287</v>
      </c>
      <c r="H3" s="514" t="s">
        <v>3288</v>
      </c>
      <c r="I3" s="514"/>
      <c r="J3" s="514" t="s">
        <v>2603</v>
      </c>
      <c r="K3" s="514" t="s">
        <v>6</v>
      </c>
      <c r="L3" s="510" t="s">
        <v>5</v>
      </c>
    </row>
    <row r="4" spans="1:12" ht="13.5" customHeight="1" thickBot="1">
      <c r="A4" s="513"/>
      <c r="B4" s="517"/>
      <c r="C4" s="515"/>
      <c r="D4" s="455" t="s">
        <v>3285</v>
      </c>
      <c r="E4" s="517"/>
      <c r="F4" s="515"/>
      <c r="G4" s="515"/>
      <c r="H4" s="457" t="s">
        <v>2604</v>
      </c>
      <c r="I4" s="457" t="s">
        <v>3289</v>
      </c>
      <c r="J4" s="515"/>
      <c r="K4" s="515"/>
      <c r="L4" s="511"/>
    </row>
    <row r="5" spans="1:12" ht="13.5">
      <c r="A5" s="184"/>
      <c r="B5" s="302"/>
      <c r="C5" s="184"/>
      <c r="D5" s="184"/>
      <c r="E5" s="302"/>
      <c r="F5" s="184"/>
      <c r="G5" s="184"/>
      <c r="H5" s="270"/>
      <c r="I5" s="270"/>
      <c r="J5" s="184"/>
      <c r="K5" s="184"/>
      <c r="L5" s="184"/>
    </row>
    <row r="6" spans="1:12" ht="15.75">
      <c r="A6" s="282"/>
      <c r="B6" s="432"/>
      <c r="C6" s="508" t="s">
        <v>3480</v>
      </c>
      <c r="D6" s="508"/>
      <c r="E6" s="508"/>
      <c r="F6" s="508"/>
      <c r="G6" s="508"/>
      <c r="H6" s="508"/>
      <c r="I6" s="508"/>
      <c r="J6" s="508"/>
      <c r="K6" s="508"/>
      <c r="L6" s="15"/>
    </row>
    <row r="7" spans="1:12" ht="12.75">
      <c r="A7" s="82" t="s">
        <v>2208</v>
      </c>
      <c r="B7" s="399" t="s">
        <v>3506</v>
      </c>
      <c r="C7" s="20" t="s">
        <v>3968</v>
      </c>
      <c r="D7" s="210" t="s">
        <v>922</v>
      </c>
      <c r="E7" s="435" t="s">
        <v>746</v>
      </c>
      <c r="F7" s="210" t="s">
        <v>125</v>
      </c>
      <c r="G7" s="210" t="s">
        <v>1643</v>
      </c>
      <c r="H7" s="271" t="s">
        <v>3320</v>
      </c>
      <c r="I7" s="271" t="s">
        <v>3351</v>
      </c>
      <c r="J7" s="271" t="s">
        <v>3542</v>
      </c>
      <c r="K7" s="271" t="s">
        <v>3543</v>
      </c>
      <c r="L7" s="210" t="s">
        <v>1906</v>
      </c>
    </row>
    <row r="8" spans="1:12" ht="12.75">
      <c r="A8" s="104"/>
      <c r="B8" s="433"/>
      <c r="C8" s="15"/>
      <c r="D8" s="15"/>
      <c r="E8" s="436"/>
      <c r="F8" s="15"/>
      <c r="G8" s="15"/>
      <c r="H8" s="49"/>
      <c r="I8" s="49"/>
      <c r="J8" s="49"/>
      <c r="K8" s="49"/>
      <c r="L8" s="15"/>
    </row>
    <row r="9" spans="1:12" ht="12.75">
      <c r="A9" s="49"/>
      <c r="B9" s="431"/>
      <c r="C9" s="15"/>
      <c r="D9" s="15"/>
      <c r="E9" s="436"/>
      <c r="F9" s="15"/>
      <c r="G9" s="15"/>
      <c r="H9" s="49"/>
      <c r="I9" s="49"/>
      <c r="J9" s="49"/>
      <c r="K9" s="49"/>
      <c r="L9" s="15"/>
    </row>
    <row r="10" spans="1:12" ht="12.75">
      <c r="A10" s="49"/>
      <c r="B10" s="431"/>
      <c r="C10" s="15"/>
      <c r="D10" s="15"/>
      <c r="E10" s="436"/>
      <c r="F10" s="15"/>
      <c r="G10" s="15"/>
      <c r="H10" s="49"/>
      <c r="I10" s="49"/>
      <c r="J10" s="49"/>
      <c r="K10" s="49"/>
      <c r="L10" s="15"/>
    </row>
    <row r="11" spans="1:12" ht="12.75">
      <c r="A11" s="49"/>
      <c r="B11" s="431"/>
      <c r="C11" s="15"/>
      <c r="D11" s="15"/>
      <c r="E11" s="436"/>
      <c r="F11" s="15"/>
      <c r="G11" s="15"/>
      <c r="H11" s="49"/>
      <c r="I11" s="49"/>
      <c r="J11" s="49"/>
      <c r="K11" s="49"/>
      <c r="L11" s="15"/>
    </row>
    <row r="12" spans="1:12" ht="12.75">
      <c r="A12" s="49"/>
      <c r="B12" s="431"/>
      <c r="C12" s="15"/>
      <c r="D12" s="15"/>
      <c r="E12" s="436"/>
      <c r="F12" s="15"/>
      <c r="G12" s="15"/>
      <c r="H12" s="49"/>
      <c r="I12" s="49"/>
      <c r="J12" s="49"/>
      <c r="K12" s="49"/>
      <c r="L12" s="15"/>
    </row>
    <row r="13" spans="1:12" ht="12.75">
      <c r="A13" s="49"/>
      <c r="B13" s="431"/>
      <c r="C13" s="15"/>
      <c r="D13" s="15"/>
      <c r="E13" s="436"/>
      <c r="F13" s="15"/>
      <c r="G13" s="15"/>
      <c r="H13" s="49"/>
      <c r="I13" s="49"/>
      <c r="J13" s="49"/>
      <c r="K13" s="49"/>
      <c r="L13" s="15"/>
    </row>
    <row r="14" spans="1:12" ht="12.75">
      <c r="A14" s="49"/>
      <c r="B14" s="431"/>
      <c r="C14" s="15"/>
      <c r="D14" s="15"/>
      <c r="E14" s="436"/>
      <c r="F14" s="15"/>
      <c r="G14" s="15"/>
      <c r="H14" s="49"/>
      <c r="I14" s="49"/>
      <c r="J14" s="49"/>
      <c r="K14" s="49"/>
      <c r="L14" s="15"/>
    </row>
    <row r="15" spans="1:12" ht="12.75">
      <c r="A15" s="49"/>
      <c r="B15" s="431"/>
      <c r="C15" s="15"/>
      <c r="D15" s="15"/>
      <c r="E15" s="436"/>
      <c r="F15" s="15"/>
      <c r="G15" s="15"/>
      <c r="H15" s="49"/>
      <c r="I15" s="49"/>
      <c r="J15" s="49"/>
      <c r="K15" s="49"/>
      <c r="L15" s="15"/>
    </row>
    <row r="16" spans="1:12" ht="12.75">
      <c r="A16" s="49"/>
      <c r="B16" s="431"/>
      <c r="C16" s="15"/>
      <c r="D16" s="15"/>
      <c r="E16" s="436"/>
      <c r="F16" s="15"/>
      <c r="G16" s="15"/>
      <c r="H16" s="49"/>
      <c r="I16" s="49"/>
      <c r="J16" s="49"/>
      <c r="K16" s="49"/>
      <c r="L16" s="15"/>
    </row>
  </sheetData>
  <sheetProtection/>
  <mergeCells count="13">
    <mergeCell ref="J3:J4"/>
    <mergeCell ref="K3:K4"/>
    <mergeCell ref="L3:L4"/>
    <mergeCell ref="C6:K6"/>
    <mergeCell ref="C1:L1"/>
    <mergeCell ref="C2:L2"/>
    <mergeCell ref="A3:A4"/>
    <mergeCell ref="C3:C4"/>
    <mergeCell ref="E3:E4"/>
    <mergeCell ref="F3:F4"/>
    <mergeCell ref="G3:G4"/>
    <mergeCell ref="H3:I3"/>
    <mergeCell ref="B3:B4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3" sqref="A3:M4"/>
    </sheetView>
  </sheetViews>
  <sheetFormatPr defaultColWidth="11.375" defaultRowHeight="12.75"/>
  <cols>
    <col min="1" max="1" width="8.875" style="0" customWidth="1"/>
    <col min="2" max="2" width="11.125" style="409" customWidth="1"/>
    <col min="3" max="3" width="24.00390625" style="0" customWidth="1"/>
    <col min="4" max="4" width="21.125" style="0" customWidth="1"/>
    <col min="5" max="5" width="15.75390625" style="0" customWidth="1"/>
    <col min="6" max="6" width="27.25390625" style="0" customWidth="1"/>
    <col min="7" max="7" width="29.00390625" style="0" customWidth="1"/>
    <col min="8" max="10" width="6.25390625" style="0" customWidth="1"/>
    <col min="11" max="11" width="9.75390625" style="0" customWidth="1"/>
    <col min="12" max="12" width="9.00390625" style="0" customWidth="1"/>
    <col min="13" max="13" width="16.125" style="0" customWidth="1"/>
  </cols>
  <sheetData>
    <row r="1" spans="1:14" ht="57.75" customHeight="1">
      <c r="A1" s="104"/>
      <c r="B1" s="433"/>
      <c r="C1" s="509" t="s">
        <v>3544</v>
      </c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49"/>
    </row>
    <row r="2" spans="1:14" ht="30" thickBot="1">
      <c r="A2" s="104"/>
      <c r="B2" s="433"/>
      <c r="C2" s="509" t="s">
        <v>3283</v>
      </c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49"/>
    </row>
    <row r="3" spans="1:14" ht="13.5" customHeight="1">
      <c r="A3" s="512" t="s">
        <v>1627</v>
      </c>
      <c r="B3" s="516" t="s">
        <v>4516</v>
      </c>
      <c r="C3" s="514" t="s">
        <v>0</v>
      </c>
      <c r="D3" s="454" t="s">
        <v>3284</v>
      </c>
      <c r="E3" s="514" t="s">
        <v>3286</v>
      </c>
      <c r="F3" s="514" t="s">
        <v>7</v>
      </c>
      <c r="G3" s="514" t="s">
        <v>3287</v>
      </c>
      <c r="H3" s="514" t="s">
        <v>2</v>
      </c>
      <c r="I3" s="514"/>
      <c r="J3" s="514"/>
      <c r="K3" s="514" t="s">
        <v>1672</v>
      </c>
      <c r="L3" s="514" t="s">
        <v>6</v>
      </c>
      <c r="M3" s="510" t="s">
        <v>5</v>
      </c>
      <c r="N3" s="184"/>
    </row>
    <row r="4" spans="1:14" ht="15" thickBot="1">
      <c r="A4" s="513"/>
      <c r="B4" s="517"/>
      <c r="C4" s="515"/>
      <c r="D4" s="455" t="s">
        <v>3285</v>
      </c>
      <c r="E4" s="515"/>
      <c r="F4" s="515"/>
      <c r="G4" s="515"/>
      <c r="H4" s="457" t="s">
        <v>2208</v>
      </c>
      <c r="I4" s="457" t="s">
        <v>2209</v>
      </c>
      <c r="J4" s="457" t="s">
        <v>2210</v>
      </c>
      <c r="K4" s="515"/>
      <c r="L4" s="515"/>
      <c r="M4" s="511"/>
      <c r="N4" s="184"/>
    </row>
    <row r="5" spans="1:14" ht="13.5">
      <c r="A5" s="184"/>
      <c r="B5" s="302"/>
      <c r="C5" s="184"/>
      <c r="D5" s="184"/>
      <c r="E5" s="184"/>
      <c r="F5" s="184"/>
      <c r="G5" s="184"/>
      <c r="H5" s="270"/>
      <c r="I5" s="270"/>
      <c r="J5" s="270"/>
      <c r="K5" s="184"/>
      <c r="L5" s="184"/>
      <c r="M5" s="184"/>
      <c r="N5" s="184"/>
    </row>
    <row r="6" spans="1:13" ht="15.75">
      <c r="A6" s="282"/>
      <c r="B6" s="432"/>
      <c r="C6" s="508" t="s">
        <v>227</v>
      </c>
      <c r="D6" s="508"/>
      <c r="E6" s="508"/>
      <c r="F6" s="508"/>
      <c r="G6" s="508"/>
      <c r="H6" s="508"/>
      <c r="I6" s="508"/>
      <c r="J6" s="508"/>
      <c r="K6" s="508"/>
      <c r="L6" s="508"/>
      <c r="M6" s="15"/>
    </row>
    <row r="7" spans="1:13" ht="12.75">
      <c r="A7" s="82" t="s">
        <v>2208</v>
      </c>
      <c r="B7" s="399" t="s">
        <v>3526</v>
      </c>
      <c r="C7" s="20" t="s">
        <v>3545</v>
      </c>
      <c r="D7" s="210" t="s">
        <v>3546</v>
      </c>
      <c r="E7" s="271" t="s">
        <v>3547</v>
      </c>
      <c r="F7" s="210" t="s">
        <v>148</v>
      </c>
      <c r="G7" s="210" t="s">
        <v>3548</v>
      </c>
      <c r="H7" s="306" t="s">
        <v>153</v>
      </c>
      <c r="I7" s="306" t="s">
        <v>126</v>
      </c>
      <c r="J7" s="344" t="s">
        <v>127</v>
      </c>
      <c r="K7" s="200" t="s">
        <v>126</v>
      </c>
      <c r="L7" s="271" t="s">
        <v>3549</v>
      </c>
      <c r="M7" s="210" t="s">
        <v>51</v>
      </c>
    </row>
    <row r="8" spans="1:13" ht="12.75">
      <c r="A8" s="82"/>
      <c r="B8" s="399"/>
      <c r="C8" s="15"/>
      <c r="D8" s="15"/>
      <c r="E8" s="49"/>
      <c r="F8" s="15"/>
      <c r="G8" s="15"/>
      <c r="H8" s="49"/>
      <c r="I8" s="49"/>
      <c r="J8" s="49"/>
      <c r="K8" s="50"/>
      <c r="L8" s="49"/>
      <c r="M8" s="15"/>
    </row>
    <row r="9" spans="1:14" ht="15.75">
      <c r="A9" s="82"/>
      <c r="B9" s="399"/>
      <c r="C9" s="526" t="s">
        <v>3480</v>
      </c>
      <c r="D9" s="526"/>
      <c r="E9" s="526"/>
      <c r="F9" s="526"/>
      <c r="G9" s="526"/>
      <c r="H9" s="526"/>
      <c r="I9" s="526"/>
      <c r="J9" s="526"/>
      <c r="K9" s="526"/>
      <c r="L9" s="526"/>
      <c r="M9" s="29"/>
      <c r="N9" s="29"/>
    </row>
    <row r="10" spans="1:14" ht="12.75">
      <c r="A10" s="82" t="s">
        <v>2208</v>
      </c>
      <c r="B10" s="399" t="s">
        <v>2708</v>
      </c>
      <c r="C10" s="224" t="s">
        <v>3969</v>
      </c>
      <c r="D10" s="187" t="s">
        <v>339</v>
      </c>
      <c r="E10" s="280" t="s">
        <v>340</v>
      </c>
      <c r="F10" s="187" t="s">
        <v>125</v>
      </c>
      <c r="G10" s="225" t="s">
        <v>3550</v>
      </c>
      <c r="H10" s="312" t="s">
        <v>845</v>
      </c>
      <c r="I10" s="309" t="s">
        <v>846</v>
      </c>
      <c r="J10" s="312" t="s">
        <v>847</v>
      </c>
      <c r="K10" s="87" t="s">
        <v>847</v>
      </c>
      <c r="L10" s="264" t="s">
        <v>3551</v>
      </c>
      <c r="M10" s="88" t="s">
        <v>1906</v>
      </c>
      <c r="N10" s="49"/>
    </row>
    <row r="11" spans="1:13" ht="12.75">
      <c r="A11" s="82" t="s">
        <v>2209</v>
      </c>
      <c r="B11" s="399" t="s">
        <v>2614</v>
      </c>
      <c r="C11" s="94" t="s">
        <v>3968</v>
      </c>
      <c r="D11" s="19" t="s">
        <v>922</v>
      </c>
      <c r="E11" s="281" t="s">
        <v>746</v>
      </c>
      <c r="F11" s="19" t="s">
        <v>125</v>
      </c>
      <c r="G11" s="98" t="s">
        <v>1643</v>
      </c>
      <c r="H11" s="314" t="s">
        <v>883</v>
      </c>
      <c r="I11" s="310" t="s">
        <v>368</v>
      </c>
      <c r="J11" s="352" t="s">
        <v>1140</v>
      </c>
      <c r="K11" s="100" t="s">
        <v>368</v>
      </c>
      <c r="L11" s="353">
        <v>144.531</v>
      </c>
      <c r="M11" s="95" t="s">
        <v>1906</v>
      </c>
    </row>
    <row r="12" spans="1:13" ht="12.75">
      <c r="A12" s="82"/>
      <c r="B12" s="399"/>
      <c r="C12" s="15"/>
      <c r="D12" s="15"/>
      <c r="E12" s="49"/>
      <c r="F12" s="15"/>
      <c r="G12" s="15"/>
      <c r="H12" s="49"/>
      <c r="I12" s="49"/>
      <c r="J12" s="49"/>
      <c r="K12" s="50"/>
      <c r="L12" s="49"/>
      <c r="M12" s="15"/>
    </row>
    <row r="13" spans="1:13" ht="18">
      <c r="A13" s="50"/>
      <c r="B13" s="402"/>
      <c r="C13" s="16" t="s">
        <v>370</v>
      </c>
      <c r="D13" s="16"/>
      <c r="E13" s="15"/>
      <c r="F13" s="15"/>
      <c r="G13" s="15"/>
      <c r="H13" s="49"/>
      <c r="I13" s="49"/>
      <c r="J13" s="49"/>
      <c r="K13" s="50"/>
      <c r="L13" s="49"/>
      <c r="M13" s="15"/>
    </row>
    <row r="14" spans="1:13" ht="18">
      <c r="A14" s="50"/>
      <c r="B14" s="402"/>
      <c r="C14" s="272" t="s">
        <v>3323</v>
      </c>
      <c r="D14" s="15"/>
      <c r="E14" s="15"/>
      <c r="F14" s="15"/>
      <c r="G14" s="15"/>
      <c r="H14" s="49"/>
      <c r="I14" s="49"/>
      <c r="J14" s="49"/>
      <c r="K14" s="50"/>
      <c r="L14" s="49"/>
      <c r="M14" s="15"/>
    </row>
    <row r="15" spans="1:13" ht="18">
      <c r="A15" s="50"/>
      <c r="B15" s="402"/>
      <c r="C15" s="272"/>
      <c r="D15" s="15"/>
      <c r="E15" s="15"/>
      <c r="F15" s="15"/>
      <c r="G15" s="15"/>
      <c r="H15" s="49"/>
      <c r="I15" s="49"/>
      <c r="J15" s="49"/>
      <c r="K15" s="50"/>
      <c r="L15" s="49"/>
      <c r="M15" s="15"/>
    </row>
    <row r="16" spans="1:13" ht="13.5">
      <c r="A16" s="50"/>
      <c r="B16" s="402"/>
      <c r="C16" s="26" t="s">
        <v>373</v>
      </c>
      <c r="D16" s="181" t="s">
        <v>374</v>
      </c>
      <c r="E16" s="181" t="s">
        <v>3286</v>
      </c>
      <c r="F16" s="181" t="s">
        <v>377</v>
      </c>
      <c r="G16" s="15"/>
      <c r="H16" s="49"/>
      <c r="I16" s="49"/>
      <c r="J16" s="49"/>
      <c r="K16" s="50"/>
      <c r="L16" s="49"/>
      <c r="M16" s="15"/>
    </row>
    <row r="17" spans="1:13" ht="12.75">
      <c r="A17" s="50" t="s">
        <v>2208</v>
      </c>
      <c r="B17" s="402"/>
      <c r="C17" s="89" t="s">
        <v>338</v>
      </c>
      <c r="D17" s="49" t="s">
        <v>3189</v>
      </c>
      <c r="E17" s="49" t="s">
        <v>340</v>
      </c>
      <c r="F17" s="49" t="s">
        <v>3551</v>
      </c>
      <c r="G17" s="15"/>
      <c r="H17" s="49"/>
      <c r="I17" s="49"/>
      <c r="J17" s="49"/>
      <c r="K17" s="50"/>
      <c r="L17" s="49"/>
      <c r="M17" s="15"/>
    </row>
    <row r="18" spans="1:13" ht="12.75">
      <c r="A18" s="50" t="s">
        <v>2209</v>
      </c>
      <c r="B18" s="402"/>
      <c r="C18" s="15" t="s">
        <v>3541</v>
      </c>
      <c r="D18" s="49" t="s">
        <v>3189</v>
      </c>
      <c r="E18" s="49" t="s">
        <v>746</v>
      </c>
      <c r="F18" s="345">
        <v>144.531</v>
      </c>
      <c r="G18" s="15"/>
      <c r="H18" s="49"/>
      <c r="I18" s="49"/>
      <c r="J18" s="49"/>
      <c r="K18" s="50"/>
      <c r="L18" s="49"/>
      <c r="M18" s="15"/>
    </row>
    <row r="19" spans="1:13" ht="12.75">
      <c r="A19" s="50" t="s">
        <v>2210</v>
      </c>
      <c r="B19" s="402"/>
      <c r="C19" s="15" t="s">
        <v>3545</v>
      </c>
      <c r="D19" s="49" t="s">
        <v>3189</v>
      </c>
      <c r="E19" s="49" t="s">
        <v>3547</v>
      </c>
      <c r="F19" s="49" t="s">
        <v>3549</v>
      </c>
      <c r="G19" s="15"/>
      <c r="H19" s="49"/>
      <c r="I19" s="49"/>
      <c r="J19" s="49"/>
      <c r="K19" s="50"/>
      <c r="L19" s="49"/>
      <c r="M19" s="15"/>
    </row>
    <row r="20" spans="1:13" ht="12.75">
      <c r="A20" s="50"/>
      <c r="B20" s="402"/>
      <c r="C20" s="15"/>
      <c r="D20" s="15"/>
      <c r="E20" s="15"/>
      <c r="F20" s="15"/>
      <c r="G20" s="15"/>
      <c r="H20" s="49"/>
      <c r="I20" s="49"/>
      <c r="J20" s="49"/>
      <c r="K20" s="50"/>
      <c r="L20" s="49"/>
      <c r="M20" s="15"/>
    </row>
    <row r="21" spans="1:13" ht="12.75">
      <c r="A21" s="50"/>
      <c r="B21" s="402"/>
      <c r="C21" s="15"/>
      <c r="D21" s="15"/>
      <c r="E21" s="49"/>
      <c r="F21" s="15"/>
      <c r="G21" s="15"/>
      <c r="H21" s="49"/>
      <c r="I21" s="49"/>
      <c r="J21" s="49"/>
      <c r="K21" s="50"/>
      <c r="L21" s="49"/>
      <c r="M21" s="15"/>
    </row>
  </sheetData>
  <sheetProtection/>
  <mergeCells count="14">
    <mergeCell ref="A3:A4"/>
    <mergeCell ref="C3:C4"/>
    <mergeCell ref="E3:E4"/>
    <mergeCell ref="F3:F4"/>
    <mergeCell ref="G3:G4"/>
    <mergeCell ref="H3:J3"/>
    <mergeCell ref="M3:M4"/>
    <mergeCell ref="C6:L6"/>
    <mergeCell ref="C9:L9"/>
    <mergeCell ref="B3:B4"/>
    <mergeCell ref="C1:M1"/>
    <mergeCell ref="C2:M2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H38" sqref="H38"/>
    </sheetView>
  </sheetViews>
  <sheetFormatPr defaultColWidth="11.375" defaultRowHeight="12.75"/>
  <cols>
    <col min="1" max="1" width="6.125" style="0" customWidth="1"/>
    <col min="2" max="2" width="12.25390625" style="409" customWidth="1"/>
    <col min="3" max="3" width="26.875" style="0" customWidth="1"/>
    <col min="4" max="4" width="24.25390625" style="0" customWidth="1"/>
    <col min="5" max="5" width="16.125" style="0" customWidth="1"/>
    <col min="6" max="6" width="11.375" style="0" customWidth="1"/>
    <col min="7" max="7" width="22.375" style="0" customWidth="1"/>
    <col min="8" max="10" width="6.875" style="0" customWidth="1"/>
    <col min="11" max="11" width="9.75390625" style="0" customWidth="1"/>
    <col min="12" max="12" width="6.875" style="0" customWidth="1"/>
    <col min="13" max="13" width="8.625" style="0" customWidth="1"/>
    <col min="14" max="14" width="10.875" style="0" customWidth="1"/>
    <col min="15" max="16" width="6.875" style="0" customWidth="1"/>
    <col min="17" max="17" width="9.25390625" style="0" customWidth="1"/>
    <col min="18" max="18" width="16.125" style="0" customWidth="1"/>
  </cols>
  <sheetData>
    <row r="1" spans="1:18" ht="57.75" customHeight="1">
      <c r="A1" s="82"/>
      <c r="B1" s="399"/>
      <c r="C1" s="509" t="s">
        <v>3553</v>
      </c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82"/>
      <c r="Q1" s="104"/>
      <c r="R1" s="104"/>
    </row>
    <row r="2" spans="1:18" ht="30" thickBot="1">
      <c r="A2" s="82"/>
      <c r="B2" s="399"/>
      <c r="C2" s="509" t="s">
        <v>3283</v>
      </c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82"/>
      <c r="Q2" s="104"/>
      <c r="R2" s="104"/>
    </row>
    <row r="3" spans="1:18" ht="13.5">
      <c r="A3" s="512" t="s">
        <v>1627</v>
      </c>
      <c r="B3" s="516" t="s">
        <v>4516</v>
      </c>
      <c r="C3" s="514" t="s">
        <v>0</v>
      </c>
      <c r="D3" s="454" t="s">
        <v>3284</v>
      </c>
      <c r="E3" s="514" t="s">
        <v>3286</v>
      </c>
      <c r="F3" s="514" t="s">
        <v>7</v>
      </c>
      <c r="G3" s="514" t="s">
        <v>3287</v>
      </c>
      <c r="H3" s="514" t="s">
        <v>3388</v>
      </c>
      <c r="I3" s="514"/>
      <c r="J3" s="514"/>
      <c r="K3" s="514" t="s">
        <v>1672</v>
      </c>
      <c r="L3" s="514" t="s">
        <v>3389</v>
      </c>
      <c r="M3" s="514" t="s">
        <v>3288</v>
      </c>
      <c r="N3" s="514"/>
      <c r="O3" s="514" t="s">
        <v>3389</v>
      </c>
      <c r="P3" s="516" t="s">
        <v>3390</v>
      </c>
      <c r="Q3" s="514" t="s">
        <v>6</v>
      </c>
      <c r="R3" s="510" t="s">
        <v>5</v>
      </c>
    </row>
    <row r="4" spans="1:18" ht="15" thickBot="1">
      <c r="A4" s="513"/>
      <c r="B4" s="517"/>
      <c r="C4" s="515"/>
      <c r="D4" s="455" t="s">
        <v>3285</v>
      </c>
      <c r="E4" s="515"/>
      <c r="F4" s="515"/>
      <c r="G4" s="515"/>
      <c r="H4" s="456" t="s">
        <v>2208</v>
      </c>
      <c r="I4" s="456" t="s">
        <v>2209</v>
      </c>
      <c r="J4" s="456" t="s">
        <v>2210</v>
      </c>
      <c r="K4" s="515"/>
      <c r="L4" s="515"/>
      <c r="M4" s="456" t="s">
        <v>2604</v>
      </c>
      <c r="N4" s="456" t="s">
        <v>3289</v>
      </c>
      <c r="O4" s="515"/>
      <c r="P4" s="517"/>
      <c r="Q4" s="515"/>
      <c r="R4" s="511"/>
    </row>
    <row r="5" spans="1:18" ht="13.5">
      <c r="A5" s="184"/>
      <c r="B5" s="302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302"/>
      <c r="Q5" s="184"/>
      <c r="R5" s="184"/>
    </row>
    <row r="6" spans="1:17" ht="15.75">
      <c r="A6" s="97"/>
      <c r="B6" s="434"/>
      <c r="C6" s="508" t="s">
        <v>164</v>
      </c>
      <c r="D6" s="508"/>
      <c r="E6" s="508"/>
      <c r="F6" s="508"/>
      <c r="G6" s="508"/>
      <c r="H6" s="508"/>
      <c r="I6" s="508"/>
      <c r="J6" s="508"/>
      <c r="K6" s="508"/>
      <c r="L6" s="508"/>
      <c r="M6" s="49"/>
      <c r="N6" s="229"/>
      <c r="O6" s="29"/>
      <c r="P6" s="29"/>
      <c r="Q6" s="229"/>
    </row>
    <row r="7" spans="1:18" ht="12.75">
      <c r="A7" s="97">
        <v>1</v>
      </c>
      <c r="B7" s="434">
        <v>30</v>
      </c>
      <c r="C7" s="20" t="s">
        <v>3817</v>
      </c>
      <c r="D7" s="210" t="s">
        <v>3555</v>
      </c>
      <c r="E7" s="210" t="s">
        <v>179</v>
      </c>
      <c r="F7" s="210" t="s">
        <v>125</v>
      </c>
      <c r="G7" s="210" t="s">
        <v>3556</v>
      </c>
      <c r="H7" s="306" t="s">
        <v>317</v>
      </c>
      <c r="I7" s="344" t="s">
        <v>368</v>
      </c>
      <c r="J7" s="344" t="s">
        <v>368</v>
      </c>
      <c r="K7" s="200" t="s">
        <v>317</v>
      </c>
      <c r="L7" s="200" t="s">
        <v>3391</v>
      </c>
      <c r="M7" s="271" t="s">
        <v>3557</v>
      </c>
      <c r="N7" s="271" t="s">
        <v>3558</v>
      </c>
      <c r="O7" s="347">
        <v>20</v>
      </c>
      <c r="P7" s="347">
        <v>40</v>
      </c>
      <c r="Q7" s="346">
        <v>10605.6216</v>
      </c>
      <c r="R7" s="210" t="s">
        <v>1944</v>
      </c>
    </row>
    <row r="8" spans="1:17" ht="12.75">
      <c r="A8" s="97"/>
      <c r="B8" s="434"/>
      <c r="C8" s="15"/>
      <c r="D8" s="15"/>
      <c r="E8" s="15"/>
      <c r="F8" s="15"/>
      <c r="G8" s="15"/>
      <c r="H8" s="49"/>
      <c r="I8" s="49"/>
      <c r="J8" s="49"/>
      <c r="K8" s="50"/>
      <c r="L8" s="50"/>
      <c r="M8" s="49"/>
      <c r="N8" s="49"/>
      <c r="O8" s="50"/>
      <c r="P8" s="29"/>
      <c r="Q8" s="229"/>
    </row>
    <row r="9" spans="1:17" ht="15.75">
      <c r="A9" s="97"/>
      <c r="B9" s="434"/>
      <c r="C9" s="526" t="s">
        <v>227</v>
      </c>
      <c r="D9" s="526"/>
      <c r="E9" s="526"/>
      <c r="F9" s="526"/>
      <c r="G9" s="526"/>
      <c r="H9" s="526"/>
      <c r="I9" s="526"/>
      <c r="J9" s="526"/>
      <c r="K9" s="526"/>
      <c r="L9" s="526"/>
      <c r="M9" s="49"/>
      <c r="N9" s="229"/>
      <c r="O9" s="29"/>
      <c r="P9" s="29"/>
      <c r="Q9" s="229"/>
    </row>
    <row r="10" spans="1:18" ht="12.75">
      <c r="A10" s="82" t="s">
        <v>2208</v>
      </c>
      <c r="B10" s="399" t="s">
        <v>3526</v>
      </c>
      <c r="C10" s="83" t="s">
        <v>3818</v>
      </c>
      <c r="D10" s="17" t="s">
        <v>3375</v>
      </c>
      <c r="E10" s="84" t="s">
        <v>276</v>
      </c>
      <c r="F10" s="17" t="s">
        <v>125</v>
      </c>
      <c r="G10" s="84" t="s">
        <v>3404</v>
      </c>
      <c r="H10" s="312" t="s">
        <v>127</v>
      </c>
      <c r="I10" s="309" t="s">
        <v>108</v>
      </c>
      <c r="J10" s="351" t="s">
        <v>169</v>
      </c>
      <c r="K10" s="87" t="s">
        <v>108</v>
      </c>
      <c r="L10" s="35" t="s">
        <v>3391</v>
      </c>
      <c r="M10" s="280" t="s">
        <v>3559</v>
      </c>
      <c r="N10" s="264" t="s">
        <v>3222</v>
      </c>
      <c r="O10" s="87" t="s">
        <v>3391</v>
      </c>
      <c r="P10" s="35" t="s">
        <v>3392</v>
      </c>
      <c r="Q10" s="280" t="s">
        <v>3560</v>
      </c>
      <c r="R10" s="17" t="s">
        <v>51</v>
      </c>
    </row>
    <row r="11" spans="1:18" ht="12.75">
      <c r="A11" s="82" t="s">
        <v>2209</v>
      </c>
      <c r="B11" s="399" t="s">
        <v>3493</v>
      </c>
      <c r="C11" s="92" t="s">
        <v>3819</v>
      </c>
      <c r="D11" s="18" t="s">
        <v>3561</v>
      </c>
      <c r="E11" s="79" t="s">
        <v>3562</v>
      </c>
      <c r="F11" s="18" t="s">
        <v>125</v>
      </c>
      <c r="G11" s="79" t="s">
        <v>2666</v>
      </c>
      <c r="H11" s="313" t="s">
        <v>127</v>
      </c>
      <c r="I11" s="307" t="s">
        <v>635</v>
      </c>
      <c r="J11" s="362" t="s">
        <v>108</v>
      </c>
      <c r="K11" s="82" t="s">
        <v>635</v>
      </c>
      <c r="L11" s="38" t="s">
        <v>2731</v>
      </c>
      <c r="M11" s="104" t="s">
        <v>3559</v>
      </c>
      <c r="N11" s="258" t="s">
        <v>3563</v>
      </c>
      <c r="O11" s="82" t="s">
        <v>2731</v>
      </c>
      <c r="P11" s="38" t="s">
        <v>2708</v>
      </c>
      <c r="Q11" s="104" t="s">
        <v>3564</v>
      </c>
      <c r="R11" s="18" t="s">
        <v>1906</v>
      </c>
    </row>
    <row r="12" spans="1:18" ht="12.75">
      <c r="A12" s="82" t="s">
        <v>2208</v>
      </c>
      <c r="B12" s="399" t="s">
        <v>3526</v>
      </c>
      <c r="C12" s="92" t="s">
        <v>3818</v>
      </c>
      <c r="D12" s="18" t="s">
        <v>281</v>
      </c>
      <c r="E12" s="79" t="s">
        <v>276</v>
      </c>
      <c r="F12" s="18" t="s">
        <v>125</v>
      </c>
      <c r="G12" s="79" t="s">
        <v>3404</v>
      </c>
      <c r="H12" s="313" t="s">
        <v>127</v>
      </c>
      <c r="I12" s="307" t="s">
        <v>108</v>
      </c>
      <c r="J12" s="258"/>
      <c r="K12" s="82" t="s">
        <v>108</v>
      </c>
      <c r="L12" s="38" t="s">
        <v>3391</v>
      </c>
      <c r="M12" s="104" t="s">
        <v>3559</v>
      </c>
      <c r="N12" s="258" t="s">
        <v>3222</v>
      </c>
      <c r="O12" s="82" t="s">
        <v>3391</v>
      </c>
      <c r="P12" s="38" t="s">
        <v>3392</v>
      </c>
      <c r="Q12" s="104" t="s">
        <v>3560</v>
      </c>
      <c r="R12" s="18" t="s">
        <v>51</v>
      </c>
    </row>
    <row r="13" spans="1:18" ht="12.75">
      <c r="A13" s="82" t="s">
        <v>2209</v>
      </c>
      <c r="B13" s="399" t="s">
        <v>3493</v>
      </c>
      <c r="C13" s="94" t="s">
        <v>3819</v>
      </c>
      <c r="D13" s="19" t="s">
        <v>3565</v>
      </c>
      <c r="E13" s="98" t="s">
        <v>3562</v>
      </c>
      <c r="F13" s="19" t="s">
        <v>125</v>
      </c>
      <c r="G13" s="98" t="s">
        <v>2666</v>
      </c>
      <c r="H13" s="314" t="s">
        <v>127</v>
      </c>
      <c r="I13" s="310" t="s">
        <v>635</v>
      </c>
      <c r="J13" s="352" t="s">
        <v>108</v>
      </c>
      <c r="K13" s="100" t="s">
        <v>635</v>
      </c>
      <c r="L13" s="41" t="s">
        <v>2731</v>
      </c>
      <c r="M13" s="281" t="s">
        <v>3559</v>
      </c>
      <c r="N13" s="265" t="s">
        <v>3563</v>
      </c>
      <c r="O13" s="100" t="s">
        <v>2731</v>
      </c>
      <c r="P13" s="41" t="s">
        <v>2708</v>
      </c>
      <c r="Q13" s="281" t="s">
        <v>3564</v>
      </c>
      <c r="R13" s="19" t="s">
        <v>1906</v>
      </c>
    </row>
    <row r="14" spans="1:17" ht="12.75">
      <c r="A14" s="97"/>
      <c r="B14" s="434"/>
      <c r="C14" s="15"/>
      <c r="D14" s="15"/>
      <c r="E14" s="15"/>
      <c r="F14" s="15"/>
      <c r="G14" s="15"/>
      <c r="H14" s="49"/>
      <c r="I14" s="49"/>
      <c r="J14" s="49"/>
      <c r="K14" s="369"/>
      <c r="L14" s="369"/>
      <c r="M14" s="49"/>
      <c r="N14" s="49"/>
      <c r="O14" s="50"/>
      <c r="P14" s="29"/>
      <c r="Q14" s="229"/>
    </row>
    <row r="15" spans="1:17" ht="15.75">
      <c r="A15" s="97"/>
      <c r="B15" s="434"/>
      <c r="C15" s="508" t="s">
        <v>3480</v>
      </c>
      <c r="D15" s="508"/>
      <c r="E15" s="508"/>
      <c r="F15" s="508"/>
      <c r="G15" s="508"/>
      <c r="H15" s="508"/>
      <c r="I15" s="508"/>
      <c r="J15" s="508"/>
      <c r="K15" s="508"/>
      <c r="L15" s="508"/>
      <c r="M15" s="49"/>
      <c r="N15" s="229"/>
      <c r="O15" s="29"/>
      <c r="P15" s="29"/>
      <c r="Q15" s="229"/>
    </row>
    <row r="16" spans="1:18" ht="12.75">
      <c r="A16" s="97">
        <v>1</v>
      </c>
      <c r="B16" s="434">
        <v>30</v>
      </c>
      <c r="C16" s="20" t="s">
        <v>3820</v>
      </c>
      <c r="D16" s="210" t="s">
        <v>922</v>
      </c>
      <c r="E16" s="210" t="s">
        <v>746</v>
      </c>
      <c r="F16" s="210" t="s">
        <v>125</v>
      </c>
      <c r="G16" s="210" t="s">
        <v>1643</v>
      </c>
      <c r="H16" s="306" t="s">
        <v>883</v>
      </c>
      <c r="I16" s="306" t="s">
        <v>368</v>
      </c>
      <c r="J16" s="344" t="s">
        <v>1140</v>
      </c>
      <c r="K16" s="200" t="s">
        <v>368</v>
      </c>
      <c r="L16" s="200" t="s">
        <v>3391</v>
      </c>
      <c r="M16" s="346">
        <v>160</v>
      </c>
      <c r="N16" s="346">
        <v>19</v>
      </c>
      <c r="O16" s="347">
        <v>20</v>
      </c>
      <c r="P16" s="347">
        <v>40</v>
      </c>
      <c r="Q16" s="346">
        <v>9575.6796</v>
      </c>
      <c r="R16" s="210" t="s">
        <v>1906</v>
      </c>
    </row>
    <row r="17" spans="1:17" ht="12.75">
      <c r="A17" s="97"/>
      <c r="B17" s="434"/>
      <c r="C17" s="15"/>
      <c r="D17" s="15"/>
      <c r="E17" s="15"/>
      <c r="F17" s="15"/>
      <c r="G17" s="15"/>
      <c r="H17" s="49"/>
      <c r="I17" s="49"/>
      <c r="J17" s="49"/>
      <c r="K17" s="50"/>
      <c r="L17" s="50"/>
      <c r="M17" s="49"/>
      <c r="N17" s="49"/>
      <c r="O17" s="50"/>
      <c r="P17" s="29"/>
      <c r="Q17" s="229"/>
    </row>
    <row r="18" spans="1:17" ht="18">
      <c r="A18" s="50"/>
      <c r="B18" s="402"/>
      <c r="C18" s="16" t="s">
        <v>370</v>
      </c>
      <c r="D18" s="16"/>
      <c r="E18" s="15"/>
      <c r="F18" s="15"/>
      <c r="G18" s="15"/>
      <c r="H18" s="49"/>
      <c r="I18" s="49"/>
      <c r="J18" s="49"/>
      <c r="K18" s="50"/>
      <c r="L18" s="50"/>
      <c r="M18" s="49"/>
      <c r="N18" s="49"/>
      <c r="O18" s="50"/>
      <c r="P18" s="29"/>
      <c r="Q18" s="229"/>
    </row>
    <row r="19" spans="1:17" ht="18">
      <c r="A19" s="50"/>
      <c r="B19" s="402"/>
      <c r="C19" s="272" t="s">
        <v>3323</v>
      </c>
      <c r="D19" s="15"/>
      <c r="E19" s="15"/>
      <c r="F19" s="15"/>
      <c r="G19" s="15"/>
      <c r="H19" s="49"/>
      <c r="I19" s="49"/>
      <c r="J19" s="49"/>
      <c r="K19" s="50"/>
      <c r="L19" s="50"/>
      <c r="M19" s="49"/>
      <c r="N19" s="49"/>
      <c r="O19" s="50"/>
      <c r="P19" s="29"/>
      <c r="Q19" s="229"/>
    </row>
    <row r="20" spans="1:17" ht="12.75">
      <c r="A20" s="50"/>
      <c r="B20" s="402"/>
      <c r="C20" s="15"/>
      <c r="D20" s="15"/>
      <c r="E20" s="15"/>
      <c r="F20" s="15"/>
      <c r="G20" s="15"/>
      <c r="H20" s="49"/>
      <c r="I20" s="49"/>
      <c r="J20" s="49"/>
      <c r="K20" s="50"/>
      <c r="L20" s="50"/>
      <c r="M20" s="49"/>
      <c r="N20" s="49"/>
      <c r="O20" s="50"/>
      <c r="P20" s="29"/>
      <c r="Q20" s="229"/>
    </row>
    <row r="21" spans="1:17" ht="13.5">
      <c r="A21" s="50"/>
      <c r="B21" s="402"/>
      <c r="C21" s="26" t="s">
        <v>373</v>
      </c>
      <c r="D21" s="181" t="s">
        <v>374</v>
      </c>
      <c r="E21" s="181" t="s">
        <v>3286</v>
      </c>
      <c r="F21" s="181" t="s">
        <v>377</v>
      </c>
      <c r="G21" s="15"/>
      <c r="H21" s="49"/>
      <c r="I21" s="49"/>
      <c r="J21" s="49"/>
      <c r="K21" s="50"/>
      <c r="L21" s="50"/>
      <c r="M21" s="49"/>
      <c r="N21" s="49"/>
      <c r="O21" s="50"/>
      <c r="P21" s="29"/>
      <c r="Q21" s="229"/>
    </row>
    <row r="22" spans="1:17" ht="12.75">
      <c r="A22" s="50" t="s">
        <v>2208</v>
      </c>
      <c r="B22" s="402"/>
      <c r="C22" s="15" t="s">
        <v>3554</v>
      </c>
      <c r="D22" s="49" t="s">
        <v>3189</v>
      </c>
      <c r="E22" s="49" t="s">
        <v>179</v>
      </c>
      <c r="F22" s="229">
        <v>10605.6216</v>
      </c>
      <c r="G22" s="15"/>
      <c r="H22" s="49"/>
      <c r="I22" s="49"/>
      <c r="J22" s="49"/>
      <c r="K22" s="50"/>
      <c r="L22" s="50"/>
      <c r="M22" s="49"/>
      <c r="N22" s="49"/>
      <c r="O22" s="50"/>
      <c r="P22" s="29"/>
      <c r="Q22" s="229"/>
    </row>
    <row r="23" spans="1:17" ht="12.75">
      <c r="A23" s="50" t="s">
        <v>2209</v>
      </c>
      <c r="B23" s="402"/>
      <c r="C23" s="15" t="s">
        <v>3541</v>
      </c>
      <c r="D23" s="49" t="s">
        <v>3189</v>
      </c>
      <c r="E23" s="49" t="s">
        <v>746</v>
      </c>
      <c r="F23" s="229">
        <v>9575.6796</v>
      </c>
      <c r="G23" s="15"/>
      <c r="H23" s="49"/>
      <c r="I23" s="49"/>
      <c r="J23" s="49"/>
      <c r="K23" s="50"/>
      <c r="L23" s="50"/>
      <c r="M23" s="49"/>
      <c r="N23" s="49"/>
      <c r="O23" s="50"/>
      <c r="P23" s="29"/>
      <c r="Q23" s="229"/>
    </row>
    <row r="24" spans="1:17" ht="12.75">
      <c r="A24" s="50" t="s">
        <v>2210</v>
      </c>
      <c r="B24" s="402"/>
      <c r="C24" s="15" t="s">
        <v>3357</v>
      </c>
      <c r="D24" s="49" t="s">
        <v>3189</v>
      </c>
      <c r="E24" s="49" t="s">
        <v>276</v>
      </c>
      <c r="F24" s="49" t="s">
        <v>3560</v>
      </c>
      <c r="G24" s="15"/>
      <c r="H24" s="49"/>
      <c r="I24" s="49"/>
      <c r="J24" s="49"/>
      <c r="K24" s="50"/>
      <c r="L24" s="50"/>
      <c r="M24" s="49"/>
      <c r="N24" s="49"/>
      <c r="O24" s="50"/>
      <c r="P24" s="29"/>
      <c r="Q24" s="229"/>
    </row>
    <row r="25" spans="1:17" ht="12.75">
      <c r="A25" s="50"/>
      <c r="B25" s="402"/>
      <c r="C25" s="15"/>
      <c r="D25" s="15"/>
      <c r="E25" s="15"/>
      <c r="F25" s="15"/>
      <c r="G25" s="15"/>
      <c r="H25" s="49"/>
      <c r="I25" s="49"/>
      <c r="J25" s="49"/>
      <c r="K25" s="50"/>
      <c r="L25" s="50"/>
      <c r="M25" s="49"/>
      <c r="N25" s="49"/>
      <c r="O25" s="50"/>
      <c r="P25" s="29"/>
      <c r="Q25" s="229"/>
    </row>
    <row r="26" spans="1:17" ht="12.75">
      <c r="A26" s="50"/>
      <c r="B26" s="402"/>
      <c r="C26" s="15"/>
      <c r="D26" s="15"/>
      <c r="E26" s="15"/>
      <c r="F26" s="15"/>
      <c r="G26" s="15"/>
      <c r="H26" s="49"/>
      <c r="I26" s="49"/>
      <c r="J26" s="49"/>
      <c r="K26" s="50"/>
      <c r="L26" s="50"/>
      <c r="M26" s="49"/>
      <c r="N26" s="49"/>
      <c r="O26" s="50"/>
      <c r="P26" s="29"/>
      <c r="Q26" s="229"/>
    </row>
    <row r="27" spans="1:17" ht="12.75">
      <c r="A27" s="50"/>
      <c r="B27" s="402"/>
      <c r="C27" s="15"/>
      <c r="D27" s="15"/>
      <c r="E27" s="15"/>
      <c r="F27" s="15"/>
      <c r="G27" s="15"/>
      <c r="H27" s="49"/>
      <c r="I27" s="49"/>
      <c r="J27" s="49"/>
      <c r="K27" s="50"/>
      <c r="L27" s="50"/>
      <c r="M27" s="49"/>
      <c r="N27" s="49"/>
      <c r="O27" s="50"/>
      <c r="P27" s="29"/>
      <c r="Q27" s="229"/>
    </row>
    <row r="28" spans="1:17" ht="12.75">
      <c r="A28" s="50"/>
      <c r="B28" s="402"/>
      <c r="C28" s="15"/>
      <c r="D28" s="15"/>
      <c r="E28" s="15"/>
      <c r="F28" s="15"/>
      <c r="G28" s="15"/>
      <c r="H28" s="49"/>
      <c r="I28" s="49"/>
      <c r="J28" s="49"/>
      <c r="K28" s="50"/>
      <c r="L28" s="50"/>
      <c r="M28" s="49"/>
      <c r="N28" s="49"/>
      <c r="O28" s="50"/>
      <c r="P28" s="29"/>
      <c r="Q28" s="229"/>
    </row>
    <row r="29" spans="1:17" ht="12.75">
      <c r="A29" s="50"/>
      <c r="B29" s="402"/>
      <c r="C29" s="15"/>
      <c r="D29" s="15"/>
      <c r="E29" s="15"/>
      <c r="F29" s="15"/>
      <c r="G29" s="15"/>
      <c r="H29" s="49"/>
      <c r="I29" s="49"/>
      <c r="J29" s="49"/>
      <c r="K29" s="50"/>
      <c r="L29" s="50"/>
      <c r="M29" s="49"/>
      <c r="N29" s="49"/>
      <c r="O29" s="50"/>
      <c r="P29" s="29"/>
      <c r="Q29" s="229"/>
    </row>
    <row r="30" spans="1:17" ht="12.75">
      <c r="A30" s="50"/>
      <c r="B30" s="402"/>
      <c r="C30" s="15"/>
      <c r="D30" s="15"/>
      <c r="E30" s="15"/>
      <c r="F30" s="15"/>
      <c r="G30" s="15"/>
      <c r="H30" s="49"/>
      <c r="I30" s="49"/>
      <c r="J30" s="49"/>
      <c r="K30" s="50"/>
      <c r="L30" s="50"/>
      <c r="M30" s="49"/>
      <c r="N30" s="49"/>
      <c r="O30" s="50"/>
      <c r="P30" s="29"/>
      <c r="Q30" s="229"/>
    </row>
    <row r="31" spans="1:17" ht="12.75">
      <c r="A31" s="50"/>
      <c r="B31" s="402"/>
      <c r="C31" s="15"/>
      <c r="D31" s="15"/>
      <c r="E31" s="15"/>
      <c r="F31" s="15"/>
      <c r="G31" s="15"/>
      <c r="H31" s="49"/>
      <c r="I31" s="49"/>
      <c r="J31" s="49"/>
      <c r="K31" s="50"/>
      <c r="L31" s="50"/>
      <c r="M31" s="49"/>
      <c r="N31" s="49"/>
      <c r="O31" s="50"/>
      <c r="P31" s="29"/>
      <c r="Q31" s="229"/>
    </row>
    <row r="32" spans="1:17" ht="12.75">
      <c r="A32" s="50"/>
      <c r="B32" s="402"/>
      <c r="C32" s="15"/>
      <c r="D32" s="15"/>
      <c r="E32" s="15"/>
      <c r="F32" s="15"/>
      <c r="G32" s="15"/>
      <c r="H32" s="49"/>
      <c r="I32" s="49"/>
      <c r="J32" s="49"/>
      <c r="K32" s="50"/>
      <c r="L32" s="50"/>
      <c r="M32" s="49"/>
      <c r="N32" s="49"/>
      <c r="O32" s="50"/>
      <c r="P32" s="29"/>
      <c r="Q32" s="229"/>
    </row>
    <row r="33" spans="1:17" ht="12.75">
      <c r="A33" s="50"/>
      <c r="B33" s="402"/>
      <c r="C33" s="15"/>
      <c r="D33" s="15"/>
      <c r="E33" s="15"/>
      <c r="F33" s="15"/>
      <c r="G33" s="15"/>
      <c r="H33" s="49"/>
      <c r="I33" s="49"/>
      <c r="J33" s="49"/>
      <c r="K33" s="50"/>
      <c r="L33" s="50"/>
      <c r="M33" s="49"/>
      <c r="N33" s="49"/>
      <c r="O33" s="50"/>
      <c r="P33" s="29"/>
      <c r="Q33" s="229"/>
    </row>
    <row r="34" spans="1:17" ht="12.75">
      <c r="A34" s="50"/>
      <c r="B34" s="402"/>
      <c r="C34" s="15"/>
      <c r="D34" s="15"/>
      <c r="E34" s="15"/>
      <c r="F34" s="15"/>
      <c r="G34" s="15"/>
      <c r="H34" s="49"/>
      <c r="I34" s="49"/>
      <c r="J34" s="49"/>
      <c r="K34" s="50"/>
      <c r="L34" s="50"/>
      <c r="M34" s="49"/>
      <c r="N34" s="49"/>
      <c r="O34" s="50"/>
      <c r="P34" s="29"/>
      <c r="Q34" s="229"/>
    </row>
    <row r="35" spans="1:17" ht="12.75">
      <c r="A35" s="50"/>
      <c r="B35" s="402"/>
      <c r="C35" s="15"/>
      <c r="D35" s="15"/>
      <c r="E35" s="15"/>
      <c r="F35" s="15"/>
      <c r="G35" s="15"/>
      <c r="H35" s="49"/>
      <c r="I35" s="49"/>
      <c r="J35" s="49"/>
      <c r="K35" s="50"/>
      <c r="L35" s="50"/>
      <c r="M35" s="49"/>
      <c r="N35" s="49"/>
      <c r="O35" s="50"/>
      <c r="P35" s="29"/>
      <c r="Q35" s="229"/>
    </row>
    <row r="36" spans="1:17" ht="12.75">
      <c r="A36" s="50"/>
      <c r="B36" s="402"/>
      <c r="C36" s="15"/>
      <c r="D36" s="15"/>
      <c r="E36" s="15"/>
      <c r="F36" s="15"/>
      <c r="G36" s="15"/>
      <c r="H36" s="49"/>
      <c r="I36" s="49"/>
      <c r="J36" s="49"/>
      <c r="K36" s="50"/>
      <c r="L36" s="50"/>
      <c r="M36" s="49"/>
      <c r="N36" s="49"/>
      <c r="O36" s="50"/>
      <c r="P36" s="29"/>
      <c r="Q36" s="229"/>
    </row>
    <row r="37" spans="1:17" ht="12.75">
      <c r="A37" s="50"/>
      <c r="B37" s="402"/>
      <c r="C37" s="15"/>
      <c r="D37" s="15"/>
      <c r="E37" s="15"/>
      <c r="F37" s="15"/>
      <c r="G37" s="15"/>
      <c r="H37" s="49"/>
      <c r="I37" s="49"/>
      <c r="J37" s="49"/>
      <c r="K37" s="50"/>
      <c r="L37" s="50"/>
      <c r="M37" s="49"/>
      <c r="N37" s="49"/>
      <c r="O37" s="50"/>
      <c r="P37" s="29"/>
      <c r="Q37" s="229"/>
    </row>
  </sheetData>
  <sheetProtection/>
  <mergeCells count="19">
    <mergeCell ref="B3:B4"/>
    <mergeCell ref="R3:R4"/>
    <mergeCell ref="C6:L6"/>
    <mergeCell ref="C1:O1"/>
    <mergeCell ref="C2:O2"/>
    <mergeCell ref="A3:A4"/>
    <mergeCell ref="C3:C4"/>
    <mergeCell ref="E3:E4"/>
    <mergeCell ref="F3:F4"/>
    <mergeCell ref="G3:G4"/>
    <mergeCell ref="Q3:Q4"/>
    <mergeCell ref="K3:K4"/>
    <mergeCell ref="L3:L4"/>
    <mergeCell ref="H3:J3"/>
    <mergeCell ref="C9:L9"/>
    <mergeCell ref="C15:L15"/>
    <mergeCell ref="M3:N3"/>
    <mergeCell ref="O3:O4"/>
    <mergeCell ref="P3:P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7">
      <selection activeCell="G40" sqref="G40"/>
    </sheetView>
  </sheetViews>
  <sheetFormatPr defaultColWidth="11.375" defaultRowHeight="12.75"/>
  <cols>
    <col min="1" max="1" width="7.25390625" style="430" customWidth="1"/>
    <col min="2" max="2" width="11.875" style="439" customWidth="1"/>
    <col min="3" max="3" width="25.25390625" style="0" customWidth="1"/>
    <col min="4" max="4" width="23.75390625" style="0" customWidth="1"/>
    <col min="5" max="5" width="15.75390625" style="0" customWidth="1"/>
    <col min="6" max="6" width="12.00390625" style="0" customWidth="1"/>
    <col min="7" max="7" width="32.125" style="0" customWidth="1"/>
    <col min="8" max="10" width="6.00390625" style="0" customWidth="1"/>
    <col min="11" max="11" width="8.75390625" style="0" customWidth="1"/>
    <col min="12" max="13" width="6.00390625" style="0" customWidth="1"/>
    <col min="14" max="14" width="14.25390625" style="0" customWidth="1"/>
    <col min="15" max="15" width="6.00390625" style="0" customWidth="1"/>
    <col min="16" max="16" width="8.75390625" style="0" customWidth="1"/>
    <col min="17" max="17" width="9.25390625" style="0" customWidth="1"/>
    <col min="18" max="18" width="14.375" style="0" customWidth="1"/>
  </cols>
  <sheetData>
    <row r="1" spans="1:18" ht="57.75" customHeight="1">
      <c r="A1" s="327"/>
      <c r="B1" s="438"/>
      <c r="C1" s="534" t="s">
        <v>3487</v>
      </c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</row>
    <row r="2" spans="1:18" ht="30" thickBot="1">
      <c r="A2" s="327"/>
      <c r="B2" s="438"/>
      <c r="C2" s="534" t="s">
        <v>3283</v>
      </c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</row>
    <row r="3" spans="1:18" ht="13.5">
      <c r="A3" s="512" t="s">
        <v>1627</v>
      </c>
      <c r="B3" s="516" t="s">
        <v>4516</v>
      </c>
      <c r="C3" s="514" t="s">
        <v>0</v>
      </c>
      <c r="D3" s="454" t="s">
        <v>3284</v>
      </c>
      <c r="E3" s="514" t="s">
        <v>3286</v>
      </c>
      <c r="F3" s="514" t="s">
        <v>7</v>
      </c>
      <c r="G3" s="514" t="s">
        <v>3287</v>
      </c>
      <c r="H3" s="514" t="s">
        <v>3388</v>
      </c>
      <c r="I3" s="514"/>
      <c r="J3" s="514"/>
      <c r="K3" s="514" t="s">
        <v>1672</v>
      </c>
      <c r="L3" s="514" t="s">
        <v>3389</v>
      </c>
      <c r="M3" s="514" t="s">
        <v>3288</v>
      </c>
      <c r="N3" s="514"/>
      <c r="O3" s="514" t="s">
        <v>3389</v>
      </c>
      <c r="P3" s="516" t="s">
        <v>3390</v>
      </c>
      <c r="Q3" s="514" t="s">
        <v>6</v>
      </c>
      <c r="R3" s="510" t="s">
        <v>5</v>
      </c>
    </row>
    <row r="4" spans="1:18" ht="15" thickBot="1">
      <c r="A4" s="513"/>
      <c r="B4" s="517"/>
      <c r="C4" s="515"/>
      <c r="D4" s="455" t="s">
        <v>3285</v>
      </c>
      <c r="E4" s="515"/>
      <c r="F4" s="515"/>
      <c r="G4" s="515"/>
      <c r="H4" s="456" t="s">
        <v>2208</v>
      </c>
      <c r="I4" s="456" t="s">
        <v>2209</v>
      </c>
      <c r="J4" s="456" t="s">
        <v>2210</v>
      </c>
      <c r="K4" s="515"/>
      <c r="L4" s="515"/>
      <c r="M4" s="456" t="s">
        <v>2604</v>
      </c>
      <c r="N4" s="456" t="s">
        <v>3289</v>
      </c>
      <c r="O4" s="515"/>
      <c r="P4" s="517"/>
      <c r="Q4" s="515"/>
      <c r="R4" s="511"/>
    </row>
    <row r="5" spans="1:18" ht="13.5">
      <c r="A5" s="326"/>
      <c r="B5" s="437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302"/>
      <c r="Q5" s="184"/>
      <c r="R5" s="184"/>
    </row>
    <row r="6" spans="1:18" ht="15.75">
      <c r="A6" s="327"/>
      <c r="B6" s="438"/>
      <c r="C6" s="533" t="s">
        <v>80</v>
      </c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320"/>
    </row>
    <row r="7" spans="1:18" ht="12.75">
      <c r="A7" s="327" t="s">
        <v>2208</v>
      </c>
      <c r="B7" s="438" t="s">
        <v>3526</v>
      </c>
      <c r="C7" s="365" t="s">
        <v>442</v>
      </c>
      <c r="D7" s="275" t="s">
        <v>443</v>
      </c>
      <c r="E7" s="276" t="s">
        <v>3488</v>
      </c>
      <c r="F7" s="275" t="s">
        <v>125</v>
      </c>
      <c r="G7" s="275" t="s">
        <v>445</v>
      </c>
      <c r="H7" s="306" t="s">
        <v>16</v>
      </c>
      <c r="I7" s="324" t="s">
        <v>70</v>
      </c>
      <c r="J7" s="324" t="s">
        <v>70</v>
      </c>
      <c r="K7" s="321" t="s">
        <v>16</v>
      </c>
      <c r="L7" s="276" t="s">
        <v>3391</v>
      </c>
      <c r="M7" s="276" t="s">
        <v>3489</v>
      </c>
      <c r="N7" s="276" t="s">
        <v>3478</v>
      </c>
      <c r="O7" s="276" t="s">
        <v>3391</v>
      </c>
      <c r="P7" s="321" t="s">
        <v>3490</v>
      </c>
      <c r="Q7" s="276" t="s">
        <v>3491</v>
      </c>
      <c r="R7" s="275" t="s">
        <v>1699</v>
      </c>
    </row>
    <row r="8" spans="1:18" ht="12.75">
      <c r="A8" s="327"/>
      <c r="B8" s="438"/>
      <c r="C8" s="363"/>
      <c r="D8" s="320"/>
      <c r="E8" s="318"/>
      <c r="F8" s="320"/>
      <c r="G8" s="320"/>
      <c r="H8" s="318"/>
      <c r="I8" s="318"/>
      <c r="J8" s="318"/>
      <c r="K8" s="318"/>
      <c r="L8" s="318"/>
      <c r="M8" s="318"/>
      <c r="N8" s="318"/>
      <c r="O8" s="318"/>
      <c r="P8" s="325"/>
      <c r="Q8" s="318"/>
      <c r="R8" s="320"/>
    </row>
    <row r="9" spans="1:18" ht="15.75">
      <c r="A9" s="327"/>
      <c r="B9" s="438"/>
      <c r="C9" s="533" t="s">
        <v>3062</v>
      </c>
      <c r="D9" s="533"/>
      <c r="E9" s="533"/>
      <c r="F9" s="533"/>
      <c r="G9" s="533"/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320"/>
    </row>
    <row r="10" spans="1:18" ht="12.75">
      <c r="A10" s="327" t="s">
        <v>2208</v>
      </c>
      <c r="B10" s="438" t="s">
        <v>3526</v>
      </c>
      <c r="C10" s="365" t="s">
        <v>477</v>
      </c>
      <c r="D10" s="275" t="s">
        <v>478</v>
      </c>
      <c r="E10" s="276" t="s">
        <v>3492</v>
      </c>
      <c r="F10" s="275" t="s">
        <v>125</v>
      </c>
      <c r="G10" s="275" t="s">
        <v>445</v>
      </c>
      <c r="H10" s="306" t="s">
        <v>15</v>
      </c>
      <c r="I10" s="306" t="s">
        <v>40</v>
      </c>
      <c r="J10" s="324" t="s">
        <v>16</v>
      </c>
      <c r="K10" s="321" t="s">
        <v>40</v>
      </c>
      <c r="L10" s="276" t="s">
        <v>3391</v>
      </c>
      <c r="M10" s="276" t="s">
        <v>2726</v>
      </c>
      <c r="N10" s="276" t="s">
        <v>3493</v>
      </c>
      <c r="O10" s="276" t="s">
        <v>3391</v>
      </c>
      <c r="P10" s="321" t="s">
        <v>3392</v>
      </c>
      <c r="Q10" s="276" t="s">
        <v>3494</v>
      </c>
      <c r="R10" s="275" t="s">
        <v>1698</v>
      </c>
    </row>
    <row r="11" spans="1:18" ht="12.75">
      <c r="A11" s="327"/>
      <c r="B11" s="438"/>
      <c r="C11" s="363"/>
      <c r="D11" s="320"/>
      <c r="E11" s="318"/>
      <c r="F11" s="320"/>
      <c r="G11" s="320"/>
      <c r="H11" s="318"/>
      <c r="I11" s="318"/>
      <c r="J11" s="318"/>
      <c r="K11" s="318"/>
      <c r="L11" s="318"/>
      <c r="M11" s="318"/>
      <c r="N11" s="318"/>
      <c r="O11" s="318"/>
      <c r="P11" s="325"/>
      <c r="Q11" s="318"/>
      <c r="R11" s="320"/>
    </row>
    <row r="12" spans="1:18" ht="15.75">
      <c r="A12" s="327"/>
      <c r="B12" s="438"/>
      <c r="C12" s="533" t="s">
        <v>3062</v>
      </c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3"/>
      <c r="R12" s="320"/>
    </row>
    <row r="13" spans="1:18" ht="12.75">
      <c r="A13" s="327" t="s">
        <v>2208</v>
      </c>
      <c r="B13" s="438" t="s">
        <v>3506</v>
      </c>
      <c r="C13" s="365" t="s">
        <v>3821</v>
      </c>
      <c r="D13" s="275" t="s">
        <v>3495</v>
      </c>
      <c r="E13" s="276" t="s">
        <v>3496</v>
      </c>
      <c r="F13" s="275" t="s">
        <v>2348</v>
      </c>
      <c r="G13" s="275" t="s">
        <v>267</v>
      </c>
      <c r="H13" s="306" t="s">
        <v>57</v>
      </c>
      <c r="I13" s="324" t="s">
        <v>48</v>
      </c>
      <c r="J13" s="324" t="s">
        <v>48</v>
      </c>
      <c r="K13" s="321" t="s">
        <v>57</v>
      </c>
      <c r="L13" s="276" t="s">
        <v>3391</v>
      </c>
      <c r="M13" s="276" t="s">
        <v>2726</v>
      </c>
      <c r="N13" s="276" t="s">
        <v>3497</v>
      </c>
      <c r="O13" s="276" t="s">
        <v>3391</v>
      </c>
      <c r="P13" s="321" t="s">
        <v>3392</v>
      </c>
      <c r="Q13" s="276" t="s">
        <v>3498</v>
      </c>
      <c r="R13" s="275" t="s">
        <v>3499</v>
      </c>
    </row>
    <row r="14" spans="1:18" ht="12.75">
      <c r="A14" s="327"/>
      <c r="B14" s="438"/>
      <c r="C14" s="363"/>
      <c r="D14" s="320"/>
      <c r="E14" s="318"/>
      <c r="F14" s="320"/>
      <c r="G14" s="320"/>
      <c r="H14" s="318"/>
      <c r="I14" s="318"/>
      <c r="J14" s="318"/>
      <c r="K14" s="318"/>
      <c r="L14" s="318"/>
      <c r="M14" s="318"/>
      <c r="N14" s="318"/>
      <c r="O14" s="318"/>
      <c r="P14" s="325"/>
      <c r="Q14" s="318"/>
      <c r="R14" s="320"/>
    </row>
    <row r="15" spans="1:18" ht="15.75">
      <c r="A15" s="327"/>
      <c r="B15" s="438"/>
      <c r="C15" s="533" t="s">
        <v>2977</v>
      </c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3"/>
      <c r="R15" s="320"/>
    </row>
    <row r="16" spans="1:18" ht="12.75">
      <c r="A16" s="327" t="s">
        <v>2208</v>
      </c>
      <c r="B16" s="438" t="s">
        <v>3526</v>
      </c>
      <c r="C16" s="365" t="s">
        <v>1472</v>
      </c>
      <c r="D16" s="275" t="s">
        <v>1473</v>
      </c>
      <c r="E16" s="276" t="s">
        <v>3500</v>
      </c>
      <c r="F16" s="275" t="s">
        <v>125</v>
      </c>
      <c r="G16" s="275" t="s">
        <v>445</v>
      </c>
      <c r="H16" s="306" t="s">
        <v>94</v>
      </c>
      <c r="I16" s="324" t="s">
        <v>95</v>
      </c>
      <c r="J16" s="324" t="s">
        <v>95</v>
      </c>
      <c r="K16" s="321" t="s">
        <v>94</v>
      </c>
      <c r="L16" s="276" t="s">
        <v>3391</v>
      </c>
      <c r="M16" s="276" t="s">
        <v>3392</v>
      </c>
      <c r="N16" s="276" t="s">
        <v>2617</v>
      </c>
      <c r="O16" s="276" t="s">
        <v>3391</v>
      </c>
      <c r="P16" s="321" t="s">
        <v>3392</v>
      </c>
      <c r="Q16" s="276" t="s">
        <v>3501</v>
      </c>
      <c r="R16" s="275" t="s">
        <v>1699</v>
      </c>
    </row>
    <row r="17" spans="1:18" ht="12.75">
      <c r="A17" s="327"/>
      <c r="B17" s="438"/>
      <c r="C17" s="363"/>
      <c r="D17" s="320"/>
      <c r="E17" s="318"/>
      <c r="F17" s="320"/>
      <c r="G17" s="320"/>
      <c r="H17" s="318"/>
      <c r="I17" s="318"/>
      <c r="J17" s="318"/>
      <c r="K17" s="318"/>
      <c r="L17" s="318"/>
      <c r="M17" s="318"/>
      <c r="N17" s="318"/>
      <c r="O17" s="318"/>
      <c r="P17" s="325"/>
      <c r="Q17" s="318"/>
      <c r="R17" s="320"/>
    </row>
    <row r="18" spans="1:18" ht="15.75">
      <c r="A18" s="327"/>
      <c r="B18" s="438"/>
      <c r="C18" s="532" t="s">
        <v>59</v>
      </c>
      <c r="D18" s="532"/>
      <c r="E18" s="532"/>
      <c r="F18" s="532"/>
      <c r="G18" s="532"/>
      <c r="H18" s="532"/>
      <c r="I18" s="532"/>
      <c r="J18" s="532"/>
      <c r="K18" s="532"/>
      <c r="L18" s="532"/>
      <c r="M18" s="532"/>
      <c r="N18" s="532"/>
      <c r="O18" s="532"/>
      <c r="P18" s="532"/>
      <c r="Q18" s="532"/>
      <c r="R18" s="320"/>
    </row>
    <row r="19" spans="1:18" ht="12.75">
      <c r="A19" s="327" t="s">
        <v>2208</v>
      </c>
      <c r="B19" s="438"/>
      <c r="C19" s="366" t="s">
        <v>3822</v>
      </c>
      <c r="D19" s="297" t="s">
        <v>3502</v>
      </c>
      <c r="E19" s="290" t="s">
        <v>3503</v>
      </c>
      <c r="F19" s="297" t="s">
        <v>31</v>
      </c>
      <c r="G19" s="289" t="s">
        <v>2409</v>
      </c>
      <c r="H19" s="312" t="s">
        <v>474</v>
      </c>
      <c r="I19" s="335" t="s">
        <v>32</v>
      </c>
      <c r="J19" s="312" t="s">
        <v>32</v>
      </c>
      <c r="K19" s="328" t="s">
        <v>32</v>
      </c>
      <c r="L19" s="333" t="s">
        <v>2731</v>
      </c>
      <c r="M19" s="290" t="s">
        <v>2661</v>
      </c>
      <c r="N19" s="333" t="s">
        <v>3489</v>
      </c>
      <c r="O19" s="290" t="s">
        <v>3391</v>
      </c>
      <c r="P19" s="331" t="s">
        <v>2635</v>
      </c>
      <c r="Q19" s="290" t="s">
        <v>3504</v>
      </c>
      <c r="R19" s="297" t="s">
        <v>2365</v>
      </c>
    </row>
    <row r="20" spans="1:18" ht="12.75">
      <c r="A20" s="327" t="s">
        <v>2209</v>
      </c>
      <c r="B20" s="438" t="s">
        <v>3493</v>
      </c>
      <c r="C20" s="368" t="s">
        <v>3823</v>
      </c>
      <c r="D20" s="298" t="s">
        <v>3505</v>
      </c>
      <c r="E20" s="285" t="s">
        <v>653</v>
      </c>
      <c r="F20" s="298" t="s">
        <v>2348</v>
      </c>
      <c r="G20" s="284" t="s">
        <v>267</v>
      </c>
      <c r="H20" s="313" t="s">
        <v>474</v>
      </c>
      <c r="I20" s="307" t="s">
        <v>49</v>
      </c>
      <c r="J20" s="313" t="s">
        <v>495</v>
      </c>
      <c r="K20" s="327" t="s">
        <v>495</v>
      </c>
      <c r="L20" s="340" t="s">
        <v>3391</v>
      </c>
      <c r="M20" s="285" t="s">
        <v>2661</v>
      </c>
      <c r="N20" s="340" t="s">
        <v>3506</v>
      </c>
      <c r="O20" s="285" t="s">
        <v>2731</v>
      </c>
      <c r="P20" s="339" t="s">
        <v>2635</v>
      </c>
      <c r="Q20" s="285" t="s">
        <v>3507</v>
      </c>
      <c r="R20" s="298" t="s">
        <v>3499</v>
      </c>
    </row>
    <row r="21" spans="1:18" ht="12.75">
      <c r="A21" s="327" t="s">
        <v>2208</v>
      </c>
      <c r="B21" s="438" t="s">
        <v>3506</v>
      </c>
      <c r="C21" s="368" t="s">
        <v>3776</v>
      </c>
      <c r="D21" s="298" t="s">
        <v>3509</v>
      </c>
      <c r="E21" s="285" t="s">
        <v>3510</v>
      </c>
      <c r="F21" s="298" t="s">
        <v>125</v>
      </c>
      <c r="G21" s="284" t="s">
        <v>3511</v>
      </c>
      <c r="H21" s="313" t="s">
        <v>49</v>
      </c>
      <c r="I21" s="307" t="s">
        <v>33</v>
      </c>
      <c r="J21" s="338" t="s">
        <v>303</v>
      </c>
      <c r="K21" s="327" t="s">
        <v>33</v>
      </c>
      <c r="L21" s="340" t="s">
        <v>3391</v>
      </c>
      <c r="M21" s="285" t="s">
        <v>2661</v>
      </c>
      <c r="N21" s="340" t="s">
        <v>2720</v>
      </c>
      <c r="O21" s="285" t="s">
        <v>3391</v>
      </c>
      <c r="P21" s="339" t="s">
        <v>3392</v>
      </c>
      <c r="Q21" s="285" t="s">
        <v>3512</v>
      </c>
      <c r="R21" s="298" t="s">
        <v>3513</v>
      </c>
    </row>
    <row r="22" spans="1:18" ht="12.75">
      <c r="A22" s="327" t="s">
        <v>2209</v>
      </c>
      <c r="B22" s="438"/>
      <c r="C22" s="368" t="s">
        <v>3824</v>
      </c>
      <c r="D22" s="298" t="s">
        <v>2407</v>
      </c>
      <c r="E22" s="285" t="s">
        <v>3514</v>
      </c>
      <c r="F22" s="298" t="s">
        <v>31</v>
      </c>
      <c r="G22" s="284" t="s">
        <v>2409</v>
      </c>
      <c r="H22" s="313" t="s">
        <v>49</v>
      </c>
      <c r="I22" s="307" t="s">
        <v>33</v>
      </c>
      <c r="J22" s="338" t="s">
        <v>451</v>
      </c>
      <c r="K22" s="327" t="s">
        <v>33</v>
      </c>
      <c r="L22" s="340" t="s">
        <v>2731</v>
      </c>
      <c r="M22" s="285" t="s">
        <v>2661</v>
      </c>
      <c r="N22" s="340" t="s">
        <v>2938</v>
      </c>
      <c r="O22" s="285" t="s">
        <v>2731</v>
      </c>
      <c r="P22" s="339" t="s">
        <v>2708</v>
      </c>
      <c r="Q22" s="285" t="s">
        <v>3515</v>
      </c>
      <c r="R22" s="298" t="s">
        <v>1906</v>
      </c>
    </row>
    <row r="23" spans="1:18" ht="12.75">
      <c r="A23" s="327" t="s">
        <v>2208</v>
      </c>
      <c r="B23" s="438"/>
      <c r="C23" s="367" t="s">
        <v>3824</v>
      </c>
      <c r="D23" s="299" t="s">
        <v>3516</v>
      </c>
      <c r="E23" s="295" t="s">
        <v>3514</v>
      </c>
      <c r="F23" s="299" t="s">
        <v>31</v>
      </c>
      <c r="G23" s="294" t="s">
        <v>2409</v>
      </c>
      <c r="H23" s="314" t="s">
        <v>49</v>
      </c>
      <c r="I23" s="310" t="s">
        <v>33</v>
      </c>
      <c r="J23" s="337" t="s">
        <v>451</v>
      </c>
      <c r="K23" s="329" t="s">
        <v>33</v>
      </c>
      <c r="L23" s="322" t="s">
        <v>3391</v>
      </c>
      <c r="M23" s="295" t="s">
        <v>2661</v>
      </c>
      <c r="N23" s="322" t="s">
        <v>2938</v>
      </c>
      <c r="O23" s="295" t="s">
        <v>3391</v>
      </c>
      <c r="P23" s="332" t="s">
        <v>3392</v>
      </c>
      <c r="Q23" s="295" t="s">
        <v>3515</v>
      </c>
      <c r="R23" s="299" t="s">
        <v>1906</v>
      </c>
    </row>
    <row r="24" spans="1:18" ht="12.75">
      <c r="A24" s="327"/>
      <c r="B24" s="438"/>
      <c r="C24" s="363"/>
      <c r="D24" s="320"/>
      <c r="E24" s="318"/>
      <c r="F24" s="320"/>
      <c r="G24" s="320"/>
      <c r="H24" s="318"/>
      <c r="I24" s="318"/>
      <c r="J24" s="318"/>
      <c r="K24" s="318"/>
      <c r="L24" s="318"/>
      <c r="M24" s="318"/>
      <c r="N24" s="318"/>
      <c r="O24" s="318"/>
      <c r="P24" s="325"/>
      <c r="Q24" s="318"/>
      <c r="R24" s="320"/>
    </row>
    <row r="25" spans="1:18" ht="15.75">
      <c r="A25" s="327"/>
      <c r="B25" s="438"/>
      <c r="C25" s="532" t="s">
        <v>164</v>
      </c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320"/>
    </row>
    <row r="26" spans="1:18" ht="12.75">
      <c r="A26" s="327" t="s">
        <v>2208</v>
      </c>
      <c r="B26" s="438" t="s">
        <v>3489</v>
      </c>
      <c r="C26" s="366" t="s">
        <v>3825</v>
      </c>
      <c r="D26" s="297" t="s">
        <v>3518</v>
      </c>
      <c r="E26" s="290" t="s">
        <v>221</v>
      </c>
      <c r="F26" s="297" t="s">
        <v>54</v>
      </c>
      <c r="G26" s="289" t="s">
        <v>1737</v>
      </c>
      <c r="H26" s="312" t="s">
        <v>303</v>
      </c>
      <c r="I26" s="309" t="s">
        <v>471</v>
      </c>
      <c r="J26" s="312" t="s">
        <v>25</v>
      </c>
      <c r="K26" s="328" t="s">
        <v>25</v>
      </c>
      <c r="L26" s="333" t="s">
        <v>3391</v>
      </c>
      <c r="M26" s="290" t="s">
        <v>3328</v>
      </c>
      <c r="N26" s="333" t="s">
        <v>3497</v>
      </c>
      <c r="O26" s="290" t="s">
        <v>3391</v>
      </c>
      <c r="P26" s="331" t="s">
        <v>3392</v>
      </c>
      <c r="Q26" s="290" t="s">
        <v>3519</v>
      </c>
      <c r="R26" s="297" t="s">
        <v>1842</v>
      </c>
    </row>
    <row r="27" spans="1:18" ht="12.75">
      <c r="A27" s="327" t="s">
        <v>2209</v>
      </c>
      <c r="B27" s="438" t="s">
        <v>3493</v>
      </c>
      <c r="C27" s="368" t="s">
        <v>704</v>
      </c>
      <c r="D27" s="298" t="s">
        <v>3520</v>
      </c>
      <c r="E27" s="285" t="s">
        <v>798</v>
      </c>
      <c r="F27" s="298" t="s">
        <v>125</v>
      </c>
      <c r="G27" s="284" t="s">
        <v>706</v>
      </c>
      <c r="H27" s="313" t="s">
        <v>94</v>
      </c>
      <c r="I27" s="307" t="s">
        <v>95</v>
      </c>
      <c r="J27" s="313" t="s">
        <v>55</v>
      </c>
      <c r="K27" s="327" t="s">
        <v>55</v>
      </c>
      <c r="L27" s="340" t="s">
        <v>2731</v>
      </c>
      <c r="M27" s="285" t="s">
        <v>3328</v>
      </c>
      <c r="N27" s="340" t="s">
        <v>3218</v>
      </c>
      <c r="O27" s="285" t="s">
        <v>2731</v>
      </c>
      <c r="P27" s="339" t="s">
        <v>2708</v>
      </c>
      <c r="Q27" s="285" t="s">
        <v>3521</v>
      </c>
      <c r="R27" s="298" t="s">
        <v>1906</v>
      </c>
    </row>
    <row r="28" spans="1:18" ht="12.75">
      <c r="A28" s="327" t="s">
        <v>2208</v>
      </c>
      <c r="B28" s="438" t="s">
        <v>3526</v>
      </c>
      <c r="C28" s="368" t="s">
        <v>3826</v>
      </c>
      <c r="D28" s="298" t="s">
        <v>3410</v>
      </c>
      <c r="E28" s="285" t="s">
        <v>3411</v>
      </c>
      <c r="F28" s="298" t="s">
        <v>125</v>
      </c>
      <c r="G28" s="284" t="s">
        <v>3404</v>
      </c>
      <c r="H28" s="338" t="s">
        <v>416</v>
      </c>
      <c r="I28" s="307" t="s">
        <v>56</v>
      </c>
      <c r="J28" s="313" t="s">
        <v>57</v>
      </c>
      <c r="K28" s="327" t="s">
        <v>57</v>
      </c>
      <c r="L28" s="340" t="s">
        <v>3391</v>
      </c>
      <c r="M28" s="285" t="s">
        <v>3328</v>
      </c>
      <c r="N28" s="340" t="s">
        <v>2756</v>
      </c>
      <c r="O28" s="285" t="s">
        <v>3391</v>
      </c>
      <c r="P28" s="339" t="s">
        <v>3392</v>
      </c>
      <c r="Q28" s="285" t="s">
        <v>3522</v>
      </c>
      <c r="R28" s="298" t="s">
        <v>1906</v>
      </c>
    </row>
    <row r="29" spans="1:18" ht="12.75">
      <c r="A29" s="327" t="s">
        <v>2209</v>
      </c>
      <c r="B29" s="438" t="s">
        <v>3493</v>
      </c>
      <c r="C29" s="367" t="s">
        <v>704</v>
      </c>
      <c r="D29" s="299" t="s">
        <v>705</v>
      </c>
      <c r="E29" s="295" t="s">
        <v>798</v>
      </c>
      <c r="F29" s="299" t="s">
        <v>125</v>
      </c>
      <c r="G29" s="294" t="s">
        <v>706</v>
      </c>
      <c r="H29" s="314" t="s">
        <v>94</v>
      </c>
      <c r="I29" s="310" t="s">
        <v>95</v>
      </c>
      <c r="J29" s="314" t="s">
        <v>55</v>
      </c>
      <c r="K29" s="329" t="s">
        <v>55</v>
      </c>
      <c r="L29" s="322" t="s">
        <v>2731</v>
      </c>
      <c r="M29" s="295" t="s">
        <v>3328</v>
      </c>
      <c r="N29" s="322" t="s">
        <v>3218</v>
      </c>
      <c r="O29" s="295" t="s">
        <v>2731</v>
      </c>
      <c r="P29" s="332" t="s">
        <v>2708</v>
      </c>
      <c r="Q29" s="295" t="s">
        <v>3521</v>
      </c>
      <c r="R29" s="299" t="s">
        <v>1906</v>
      </c>
    </row>
    <row r="30" spans="1:18" ht="12.75">
      <c r="A30" s="327"/>
      <c r="B30" s="438"/>
      <c r="C30" s="363"/>
      <c r="D30" s="320"/>
      <c r="E30" s="318"/>
      <c r="F30" s="320"/>
      <c r="G30" s="320"/>
      <c r="H30" s="318"/>
      <c r="I30" s="318"/>
      <c r="J30" s="318"/>
      <c r="K30" s="318"/>
      <c r="L30" s="318"/>
      <c r="M30" s="318"/>
      <c r="N30" s="318"/>
      <c r="O30" s="318"/>
      <c r="P30" s="325"/>
      <c r="Q30" s="318"/>
      <c r="R30" s="320"/>
    </row>
    <row r="31" spans="1:18" ht="15.75">
      <c r="A31" s="327"/>
      <c r="B31" s="438"/>
      <c r="C31" s="532" t="s">
        <v>227</v>
      </c>
      <c r="D31" s="532"/>
      <c r="E31" s="532"/>
      <c r="F31" s="532"/>
      <c r="G31" s="532"/>
      <c r="H31" s="532"/>
      <c r="I31" s="532"/>
      <c r="J31" s="532"/>
      <c r="K31" s="532"/>
      <c r="L31" s="532"/>
      <c r="M31" s="532"/>
      <c r="N31" s="532"/>
      <c r="O31" s="532"/>
      <c r="P31" s="532"/>
      <c r="Q31" s="532"/>
      <c r="R31" s="320"/>
    </row>
    <row r="32" spans="1:18" ht="12.75">
      <c r="A32" s="327" t="s">
        <v>2208</v>
      </c>
      <c r="B32" s="438" t="s">
        <v>3506</v>
      </c>
      <c r="C32" s="366" t="s">
        <v>3827</v>
      </c>
      <c r="D32" s="297" t="s">
        <v>3375</v>
      </c>
      <c r="E32" s="290" t="s">
        <v>276</v>
      </c>
      <c r="F32" s="297" t="s">
        <v>125</v>
      </c>
      <c r="G32" s="289" t="s">
        <v>3404</v>
      </c>
      <c r="H32" s="312" t="s">
        <v>303</v>
      </c>
      <c r="I32" s="335" t="s">
        <v>471</v>
      </c>
      <c r="J32" s="312" t="s">
        <v>544</v>
      </c>
      <c r="K32" s="328" t="s">
        <v>544</v>
      </c>
      <c r="L32" s="333" t="s">
        <v>3391</v>
      </c>
      <c r="M32" s="290" t="s">
        <v>3523</v>
      </c>
      <c r="N32" s="333" t="s">
        <v>2620</v>
      </c>
      <c r="O32" s="290" t="s">
        <v>3391</v>
      </c>
      <c r="P32" s="331" t="s">
        <v>3392</v>
      </c>
      <c r="Q32" s="290" t="s">
        <v>3524</v>
      </c>
      <c r="R32" s="297" t="s">
        <v>1906</v>
      </c>
    </row>
    <row r="33" spans="1:18" ht="12.75">
      <c r="A33" s="327" t="s">
        <v>2209</v>
      </c>
      <c r="B33" s="438" t="s">
        <v>3493</v>
      </c>
      <c r="C33" s="368" t="s">
        <v>1462</v>
      </c>
      <c r="D33" s="298" t="s">
        <v>1497</v>
      </c>
      <c r="E33" s="285" t="s">
        <v>3525</v>
      </c>
      <c r="F33" s="298" t="s">
        <v>125</v>
      </c>
      <c r="G33" s="284" t="s">
        <v>445</v>
      </c>
      <c r="H33" s="313" t="s">
        <v>57</v>
      </c>
      <c r="I33" s="334" t="s">
        <v>48</v>
      </c>
      <c r="J33" s="338" t="s">
        <v>48</v>
      </c>
      <c r="K33" s="327" t="s">
        <v>57</v>
      </c>
      <c r="L33" s="340" t="s">
        <v>2731</v>
      </c>
      <c r="M33" s="285" t="s">
        <v>3523</v>
      </c>
      <c r="N33" s="340" t="s">
        <v>3526</v>
      </c>
      <c r="O33" s="285" t="s">
        <v>2731</v>
      </c>
      <c r="P33" s="339" t="s">
        <v>2708</v>
      </c>
      <c r="Q33" s="285" t="s">
        <v>3527</v>
      </c>
      <c r="R33" s="298" t="s">
        <v>1699</v>
      </c>
    </row>
    <row r="34" spans="1:18" ht="12.75">
      <c r="A34" s="327" t="s">
        <v>2208</v>
      </c>
      <c r="B34" s="438"/>
      <c r="C34" s="367" t="s">
        <v>3828</v>
      </c>
      <c r="D34" s="299" t="s">
        <v>3529</v>
      </c>
      <c r="E34" s="295" t="s">
        <v>3530</v>
      </c>
      <c r="F34" s="299" t="s">
        <v>31</v>
      </c>
      <c r="G34" s="294" t="s">
        <v>1643</v>
      </c>
      <c r="H34" s="337" t="s">
        <v>48</v>
      </c>
      <c r="I34" s="310" t="s">
        <v>48</v>
      </c>
      <c r="J34" s="337" t="s">
        <v>474</v>
      </c>
      <c r="K34" s="329" t="s">
        <v>48</v>
      </c>
      <c r="L34" s="322" t="s">
        <v>3391</v>
      </c>
      <c r="M34" s="295" t="s">
        <v>3523</v>
      </c>
      <c r="N34" s="322" t="s">
        <v>3353</v>
      </c>
      <c r="O34" s="295" t="s">
        <v>3391</v>
      </c>
      <c r="P34" s="332" t="s">
        <v>3392</v>
      </c>
      <c r="Q34" s="295" t="s">
        <v>3531</v>
      </c>
      <c r="R34" s="299" t="s">
        <v>1906</v>
      </c>
    </row>
    <row r="35" spans="1:18" ht="12.75">
      <c r="A35" s="327"/>
      <c r="B35" s="438"/>
      <c r="C35" s="363"/>
      <c r="D35" s="320"/>
      <c r="E35" s="318"/>
      <c r="F35" s="320"/>
      <c r="G35" s="320"/>
      <c r="H35" s="318"/>
      <c r="I35" s="318"/>
      <c r="J35" s="318"/>
      <c r="K35" s="318"/>
      <c r="L35" s="318"/>
      <c r="M35" s="318"/>
      <c r="N35" s="318"/>
      <c r="O35" s="318"/>
      <c r="P35" s="325"/>
      <c r="Q35" s="318"/>
      <c r="R35" s="320"/>
    </row>
    <row r="36" spans="1:18" ht="15.75">
      <c r="A36" s="327"/>
      <c r="B36" s="438"/>
      <c r="C36" s="532" t="s">
        <v>3381</v>
      </c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320"/>
    </row>
    <row r="37" spans="1:18" ht="12.75">
      <c r="A37" s="327" t="s">
        <v>2208</v>
      </c>
      <c r="B37" s="438"/>
      <c r="C37" s="366" t="s">
        <v>3829</v>
      </c>
      <c r="D37" s="297" t="s">
        <v>3532</v>
      </c>
      <c r="E37" s="290" t="s">
        <v>3533</v>
      </c>
      <c r="F37" s="297" t="s">
        <v>31</v>
      </c>
      <c r="G37" s="289" t="s">
        <v>1643</v>
      </c>
      <c r="H37" s="312" t="s">
        <v>303</v>
      </c>
      <c r="I37" s="309" t="s">
        <v>88</v>
      </c>
      <c r="J37" s="312" t="s">
        <v>101</v>
      </c>
      <c r="K37" s="328" t="s">
        <v>101</v>
      </c>
      <c r="L37" s="333" t="s">
        <v>3391</v>
      </c>
      <c r="M37" s="290" t="s">
        <v>3534</v>
      </c>
      <c r="N37" s="333" t="s">
        <v>2689</v>
      </c>
      <c r="O37" s="290" t="s">
        <v>3391</v>
      </c>
      <c r="P37" s="331" t="s">
        <v>3392</v>
      </c>
      <c r="Q37" s="290" t="s">
        <v>3535</v>
      </c>
      <c r="R37" s="297" t="s">
        <v>1906</v>
      </c>
    </row>
    <row r="38" spans="1:18" ht="12.75">
      <c r="A38" s="327" t="s">
        <v>2209</v>
      </c>
      <c r="B38" s="438" t="s">
        <v>3493</v>
      </c>
      <c r="C38" s="367" t="s">
        <v>3536</v>
      </c>
      <c r="D38" s="299" t="s">
        <v>3537</v>
      </c>
      <c r="E38" s="295" t="s">
        <v>3538</v>
      </c>
      <c r="F38" s="299" t="s">
        <v>125</v>
      </c>
      <c r="G38" s="294" t="s">
        <v>445</v>
      </c>
      <c r="H38" s="314" t="s">
        <v>49</v>
      </c>
      <c r="I38" s="336" t="s">
        <v>451</v>
      </c>
      <c r="J38" s="337" t="s">
        <v>451</v>
      </c>
      <c r="K38" s="329" t="s">
        <v>49</v>
      </c>
      <c r="L38" s="322" t="s">
        <v>2731</v>
      </c>
      <c r="M38" s="295" t="s">
        <v>3534</v>
      </c>
      <c r="N38" s="322" t="s">
        <v>2214</v>
      </c>
      <c r="O38" s="295" t="s">
        <v>2731</v>
      </c>
      <c r="P38" s="332" t="s">
        <v>2708</v>
      </c>
      <c r="Q38" s="295" t="s">
        <v>3539</v>
      </c>
      <c r="R38" s="299" t="s">
        <v>1906</v>
      </c>
    </row>
    <row r="39" spans="1:6" ht="12.75">
      <c r="A39" s="327"/>
      <c r="B39" s="438"/>
      <c r="C39" s="363"/>
      <c r="D39" s="320"/>
      <c r="E39" s="318"/>
      <c r="F39" s="320"/>
    </row>
    <row r="40" spans="1:6" ht="18">
      <c r="A40" s="50"/>
      <c r="B40" s="402"/>
      <c r="C40" s="16" t="s">
        <v>370</v>
      </c>
      <c r="D40" s="16"/>
      <c r="E40" s="15"/>
      <c r="F40" s="15"/>
    </row>
    <row r="41" spans="1:6" ht="18">
      <c r="A41" s="50"/>
      <c r="B41" s="402"/>
      <c r="C41" s="272" t="s">
        <v>3323</v>
      </c>
      <c r="D41" s="15"/>
      <c r="E41" s="15"/>
      <c r="F41" s="15"/>
    </row>
    <row r="42" spans="1:6" ht="12.75">
      <c r="A42" s="50"/>
      <c r="B42" s="402"/>
      <c r="C42" s="15"/>
      <c r="D42" s="15"/>
      <c r="E42" s="15"/>
      <c r="F42" s="15"/>
    </row>
    <row r="43" spans="1:6" ht="13.5">
      <c r="A43" s="50"/>
      <c r="B43" s="402"/>
      <c r="C43" s="26" t="s">
        <v>373</v>
      </c>
      <c r="D43" s="181" t="s">
        <v>374</v>
      </c>
      <c r="E43" s="181" t="s">
        <v>3286</v>
      </c>
      <c r="F43" s="181" t="s">
        <v>377</v>
      </c>
    </row>
    <row r="44" spans="1:6" ht="12.75">
      <c r="A44" s="50" t="s">
        <v>2208</v>
      </c>
      <c r="B44" s="402"/>
      <c r="C44" s="364" t="s">
        <v>3357</v>
      </c>
      <c r="D44" s="49" t="s">
        <v>3189</v>
      </c>
      <c r="E44" s="318" t="s">
        <v>276</v>
      </c>
      <c r="F44" s="318" t="s">
        <v>3524</v>
      </c>
    </row>
    <row r="45" spans="1:6" ht="12.75">
      <c r="A45" s="50" t="s">
        <v>2209</v>
      </c>
      <c r="B45" s="402"/>
      <c r="C45" s="364" t="s">
        <v>3517</v>
      </c>
      <c r="D45" s="49" t="s">
        <v>3189</v>
      </c>
      <c r="E45" s="318" t="s">
        <v>221</v>
      </c>
      <c r="F45" s="318" t="s">
        <v>3519</v>
      </c>
    </row>
    <row r="46" spans="1:6" ht="12.75">
      <c r="A46" s="50" t="s">
        <v>2210</v>
      </c>
      <c r="B46" s="402"/>
      <c r="C46" s="364" t="s">
        <v>3508</v>
      </c>
      <c r="D46" s="49" t="s">
        <v>3189</v>
      </c>
      <c r="E46" s="318" t="s">
        <v>3510</v>
      </c>
      <c r="F46" s="318" t="s">
        <v>3512</v>
      </c>
    </row>
    <row r="47" spans="1:6" ht="12.75">
      <c r="A47" s="50"/>
      <c r="B47" s="402"/>
      <c r="C47" s="15"/>
      <c r="D47" s="49"/>
      <c r="E47" s="49"/>
      <c r="F47" s="49"/>
    </row>
    <row r="48" spans="1:6" ht="13.5">
      <c r="A48" s="50"/>
      <c r="B48" s="402"/>
      <c r="C48" s="26" t="s">
        <v>373</v>
      </c>
      <c r="D48" s="181" t="s">
        <v>374</v>
      </c>
      <c r="E48" s="181" t="s">
        <v>3286</v>
      </c>
      <c r="F48" s="181" t="s">
        <v>377</v>
      </c>
    </row>
    <row r="49" spans="1:6" ht="12.75">
      <c r="A49" s="50" t="s">
        <v>2208</v>
      </c>
      <c r="B49" s="402"/>
      <c r="C49" s="364" t="s">
        <v>2406</v>
      </c>
      <c r="D49" s="318" t="s">
        <v>3458</v>
      </c>
      <c r="E49" s="318" t="s">
        <v>3514</v>
      </c>
      <c r="F49" s="318" t="s">
        <v>3515</v>
      </c>
    </row>
    <row r="50" spans="1:6" ht="12.75">
      <c r="A50" s="50" t="s">
        <v>2209</v>
      </c>
      <c r="B50" s="402"/>
      <c r="C50" s="364" t="s">
        <v>3528</v>
      </c>
      <c r="D50" s="318" t="s">
        <v>3552</v>
      </c>
      <c r="E50" s="318" t="s">
        <v>3530</v>
      </c>
      <c r="F50" s="318" t="s">
        <v>3531</v>
      </c>
    </row>
    <row r="51" spans="1:6" ht="12.75">
      <c r="A51" s="50" t="s">
        <v>2210</v>
      </c>
      <c r="B51" s="402"/>
      <c r="C51" s="364" t="s">
        <v>3409</v>
      </c>
      <c r="D51" s="318" t="s">
        <v>3460</v>
      </c>
      <c r="E51" s="318" t="s">
        <v>3411</v>
      </c>
      <c r="F51" s="318" t="s">
        <v>3522</v>
      </c>
    </row>
  </sheetData>
  <sheetProtection/>
  <mergeCells count="24">
    <mergeCell ref="A3:A4"/>
    <mergeCell ref="C3:C4"/>
    <mergeCell ref="E3:E4"/>
    <mergeCell ref="F3:F4"/>
    <mergeCell ref="G3:G4"/>
    <mergeCell ref="H3:J3"/>
    <mergeCell ref="B3:B4"/>
    <mergeCell ref="P3:P4"/>
    <mergeCell ref="Q3:Q4"/>
    <mergeCell ref="R3:R4"/>
    <mergeCell ref="C6:Q6"/>
    <mergeCell ref="C1:R1"/>
    <mergeCell ref="C2:R2"/>
    <mergeCell ref="K3:K4"/>
    <mergeCell ref="L3:L4"/>
    <mergeCell ref="M3:N3"/>
    <mergeCell ref="O3:O4"/>
    <mergeCell ref="C36:Q36"/>
    <mergeCell ref="C9:Q9"/>
    <mergeCell ref="C12:Q12"/>
    <mergeCell ref="C15:Q15"/>
    <mergeCell ref="C18:Q18"/>
    <mergeCell ref="C25:Q25"/>
    <mergeCell ref="C31:Q3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G41" sqref="G41"/>
    </sheetView>
  </sheetViews>
  <sheetFormatPr defaultColWidth="11.375" defaultRowHeight="12.75"/>
  <cols>
    <col min="1" max="1" width="7.625" style="430" customWidth="1"/>
    <col min="2" max="2" width="11.75390625" style="439" customWidth="1"/>
    <col min="3" max="3" width="23.375" style="0" customWidth="1"/>
    <col min="4" max="4" width="22.75390625" style="0" customWidth="1"/>
    <col min="5" max="5" width="16.375" style="0" customWidth="1"/>
    <col min="6" max="6" width="11.375" style="0" customWidth="1"/>
    <col min="7" max="7" width="31.375" style="0" customWidth="1"/>
    <col min="8" max="11" width="11.375" style="0" customWidth="1"/>
    <col min="12" max="12" width="14.00390625" style="0" customWidth="1"/>
  </cols>
  <sheetData>
    <row r="1" spans="1:12" ht="57.75" customHeight="1">
      <c r="A1" s="82"/>
      <c r="B1" s="399"/>
      <c r="C1" s="509" t="s">
        <v>3422</v>
      </c>
      <c r="D1" s="509"/>
      <c r="E1" s="509"/>
      <c r="F1" s="509"/>
      <c r="G1" s="509"/>
      <c r="H1" s="509"/>
      <c r="I1" s="509"/>
      <c r="J1" s="509"/>
      <c r="K1" s="509"/>
      <c r="L1" s="509"/>
    </row>
    <row r="2" spans="1:12" ht="30" thickBot="1">
      <c r="A2" s="82"/>
      <c r="B2" s="399"/>
      <c r="C2" s="509" t="s">
        <v>3283</v>
      </c>
      <c r="D2" s="509"/>
      <c r="E2" s="509"/>
      <c r="F2" s="509"/>
      <c r="G2" s="509"/>
      <c r="H2" s="509"/>
      <c r="I2" s="509"/>
      <c r="J2" s="509"/>
      <c r="K2" s="509"/>
      <c r="L2" s="509"/>
    </row>
    <row r="3" spans="1:12" ht="13.5" customHeight="1">
      <c r="A3" s="512" t="s">
        <v>1627</v>
      </c>
      <c r="B3" s="504" t="s">
        <v>4516</v>
      </c>
      <c r="C3" s="514" t="s">
        <v>0</v>
      </c>
      <c r="D3" s="454" t="s">
        <v>3284</v>
      </c>
      <c r="E3" s="514" t="s">
        <v>3286</v>
      </c>
      <c r="F3" s="514" t="s">
        <v>7</v>
      </c>
      <c r="G3" s="514" t="s">
        <v>3287</v>
      </c>
      <c r="H3" s="514" t="s">
        <v>3288</v>
      </c>
      <c r="I3" s="514"/>
      <c r="J3" s="514" t="s">
        <v>2603</v>
      </c>
      <c r="K3" s="514" t="s">
        <v>6</v>
      </c>
      <c r="L3" s="510" t="s">
        <v>5</v>
      </c>
    </row>
    <row r="4" spans="1:12" ht="15" thickBot="1">
      <c r="A4" s="513"/>
      <c r="B4" s="535"/>
      <c r="C4" s="515"/>
      <c r="D4" s="455" t="s">
        <v>3285</v>
      </c>
      <c r="E4" s="515"/>
      <c r="F4" s="515"/>
      <c r="G4" s="515"/>
      <c r="H4" s="457" t="s">
        <v>2604</v>
      </c>
      <c r="I4" s="457" t="s">
        <v>3289</v>
      </c>
      <c r="J4" s="515"/>
      <c r="K4" s="515"/>
      <c r="L4" s="511"/>
    </row>
    <row r="5" spans="1:12" ht="13.5">
      <c r="A5" s="184"/>
      <c r="B5" s="302"/>
      <c r="C5" s="184"/>
      <c r="D5" s="184"/>
      <c r="E5" s="184"/>
      <c r="F5" s="184"/>
      <c r="G5" s="184"/>
      <c r="H5" s="270"/>
      <c r="I5" s="270"/>
      <c r="J5" s="184"/>
      <c r="K5" s="184"/>
      <c r="L5" s="184"/>
    </row>
    <row r="6" spans="3:12" ht="15.75">
      <c r="C6" s="508" t="s">
        <v>3423</v>
      </c>
      <c r="D6" s="508"/>
      <c r="E6" s="508"/>
      <c r="F6" s="508"/>
      <c r="G6" s="508"/>
      <c r="H6" s="508"/>
      <c r="I6" s="508"/>
      <c r="J6" s="508"/>
      <c r="K6" s="508"/>
      <c r="L6" s="15"/>
    </row>
    <row r="7" spans="1:12" ht="12.75">
      <c r="A7" s="82" t="s">
        <v>2208</v>
      </c>
      <c r="B7" s="399" t="s">
        <v>3506</v>
      </c>
      <c r="C7" s="20" t="s">
        <v>3830</v>
      </c>
      <c r="D7" s="210" t="s">
        <v>3424</v>
      </c>
      <c r="E7" s="210" t="s">
        <v>1987</v>
      </c>
      <c r="F7" s="210" t="s">
        <v>125</v>
      </c>
      <c r="G7" s="210" t="s">
        <v>3425</v>
      </c>
      <c r="H7" s="271" t="s">
        <v>397</v>
      </c>
      <c r="I7" s="277" t="s">
        <v>3426</v>
      </c>
      <c r="J7" s="271" t="s">
        <v>3427</v>
      </c>
      <c r="K7" s="271" t="s">
        <v>3428</v>
      </c>
      <c r="L7" s="210" t="s">
        <v>1906</v>
      </c>
    </row>
    <row r="8" spans="1:12" ht="12.75">
      <c r="A8" s="82"/>
      <c r="B8" s="399"/>
      <c r="C8" s="15"/>
      <c r="D8" s="15"/>
      <c r="E8" s="15"/>
      <c r="F8" s="15"/>
      <c r="G8" s="15"/>
      <c r="H8" s="49"/>
      <c r="I8" s="342"/>
      <c r="J8" s="49"/>
      <c r="K8" s="49"/>
      <c r="L8" s="15"/>
    </row>
    <row r="9" spans="1:12" ht="15.75">
      <c r="A9" s="440"/>
      <c r="B9" s="441"/>
      <c r="C9" s="508" t="s">
        <v>59</v>
      </c>
      <c r="D9" s="508"/>
      <c r="E9" s="508"/>
      <c r="F9" s="508"/>
      <c r="G9" s="508"/>
      <c r="H9" s="508"/>
      <c r="I9" s="508"/>
      <c r="J9" s="508"/>
      <c r="K9" s="508"/>
      <c r="L9" s="15"/>
    </row>
    <row r="10" spans="1:12" ht="12.75">
      <c r="A10" s="82" t="s">
        <v>2208</v>
      </c>
      <c r="B10" s="399" t="s">
        <v>3526</v>
      </c>
      <c r="C10" s="20" t="s">
        <v>3831</v>
      </c>
      <c r="D10" s="210" t="s">
        <v>3430</v>
      </c>
      <c r="E10" s="210" t="s">
        <v>638</v>
      </c>
      <c r="F10" s="210" t="s">
        <v>125</v>
      </c>
      <c r="G10" s="210" t="s">
        <v>3404</v>
      </c>
      <c r="H10" s="271" t="s">
        <v>3431</v>
      </c>
      <c r="I10" s="271" t="s">
        <v>2718</v>
      </c>
      <c r="J10" s="271" t="s">
        <v>3432</v>
      </c>
      <c r="K10" s="271" t="s">
        <v>3433</v>
      </c>
      <c r="L10" s="210" t="s">
        <v>1906</v>
      </c>
    </row>
    <row r="11" spans="1:12" ht="12.75">
      <c r="A11" s="82"/>
      <c r="B11" s="399"/>
      <c r="C11" s="15"/>
      <c r="D11" s="15"/>
      <c r="E11" s="15"/>
      <c r="F11" s="15"/>
      <c r="G11" s="15"/>
      <c r="H11" s="49"/>
      <c r="I11" s="49"/>
      <c r="J11" s="49"/>
      <c r="K11" s="49"/>
      <c r="L11" s="15"/>
    </row>
    <row r="12" spans="1:12" ht="15.75">
      <c r="A12" s="440"/>
      <c r="B12" s="441"/>
      <c r="C12" s="526" t="s">
        <v>164</v>
      </c>
      <c r="D12" s="526"/>
      <c r="E12" s="526"/>
      <c r="F12" s="526"/>
      <c r="G12" s="526"/>
      <c r="H12" s="526"/>
      <c r="I12" s="526"/>
      <c r="J12" s="526"/>
      <c r="K12" s="526"/>
      <c r="L12" s="15"/>
    </row>
    <row r="13" spans="1:12" ht="12.75">
      <c r="A13" s="82" t="s">
        <v>2208</v>
      </c>
      <c r="B13" s="399" t="s">
        <v>3489</v>
      </c>
      <c r="C13" s="83" t="s">
        <v>3832</v>
      </c>
      <c r="D13" s="17" t="s">
        <v>3435</v>
      </c>
      <c r="E13" s="84" t="s">
        <v>3436</v>
      </c>
      <c r="F13" s="17" t="s">
        <v>125</v>
      </c>
      <c r="G13" s="84" t="s">
        <v>1410</v>
      </c>
      <c r="H13" s="264" t="s">
        <v>3437</v>
      </c>
      <c r="I13" s="291" t="s">
        <v>2620</v>
      </c>
      <c r="J13" s="264" t="s">
        <v>3438</v>
      </c>
      <c r="K13" s="280" t="s">
        <v>3439</v>
      </c>
      <c r="L13" s="17" t="s">
        <v>1906</v>
      </c>
    </row>
    <row r="14" spans="1:12" ht="12.75">
      <c r="A14" s="82" t="s">
        <v>2209</v>
      </c>
      <c r="B14" s="399" t="s">
        <v>3493</v>
      </c>
      <c r="C14" s="94" t="s">
        <v>3833</v>
      </c>
      <c r="D14" s="19" t="s">
        <v>2472</v>
      </c>
      <c r="E14" s="98" t="s">
        <v>3440</v>
      </c>
      <c r="F14" s="19" t="s">
        <v>125</v>
      </c>
      <c r="G14" s="98" t="s">
        <v>815</v>
      </c>
      <c r="H14" s="265" t="s">
        <v>3437</v>
      </c>
      <c r="I14" s="296" t="s">
        <v>2614</v>
      </c>
      <c r="J14" s="265" t="s">
        <v>3441</v>
      </c>
      <c r="K14" s="281" t="s">
        <v>3442</v>
      </c>
      <c r="L14" s="19" t="s">
        <v>1906</v>
      </c>
    </row>
    <row r="15" spans="1:12" ht="12.75">
      <c r="A15" s="82"/>
      <c r="B15" s="399"/>
      <c r="C15" s="15"/>
      <c r="D15" s="15"/>
      <c r="E15" s="15"/>
      <c r="F15" s="15"/>
      <c r="G15" s="15"/>
      <c r="H15" s="49"/>
      <c r="I15" s="49"/>
      <c r="J15" s="49"/>
      <c r="K15" s="49"/>
      <c r="L15" s="15"/>
    </row>
    <row r="16" spans="1:12" ht="15.75">
      <c r="A16" s="440"/>
      <c r="B16" s="441"/>
      <c r="C16" s="526" t="s">
        <v>3319</v>
      </c>
      <c r="D16" s="508"/>
      <c r="E16" s="508"/>
      <c r="F16" s="508"/>
      <c r="G16" s="508"/>
      <c r="H16" s="508"/>
      <c r="I16" s="508"/>
      <c r="J16" s="508"/>
      <c r="K16" s="508"/>
      <c r="L16" s="15"/>
    </row>
    <row r="17" spans="1:12" ht="12.75">
      <c r="A17" s="82" t="s">
        <v>2208</v>
      </c>
      <c r="B17" s="399" t="s">
        <v>3489</v>
      </c>
      <c r="C17" s="17" t="s">
        <v>3839</v>
      </c>
      <c r="D17" s="88" t="s">
        <v>2503</v>
      </c>
      <c r="E17" s="84" t="s">
        <v>3481</v>
      </c>
      <c r="F17" s="17" t="s">
        <v>2104</v>
      </c>
      <c r="G17" s="84" t="s">
        <v>143</v>
      </c>
      <c r="H17" s="280" t="s">
        <v>3482</v>
      </c>
      <c r="I17" s="264" t="s">
        <v>2718</v>
      </c>
      <c r="J17" s="415" t="s">
        <v>4085</v>
      </c>
      <c r="K17" s="280" t="s">
        <v>4086</v>
      </c>
      <c r="L17" s="17" t="s">
        <v>1906</v>
      </c>
    </row>
    <row r="18" spans="1:12" ht="12.75">
      <c r="A18" s="82" t="s">
        <v>2209</v>
      </c>
      <c r="B18" s="399" t="s">
        <v>3493</v>
      </c>
      <c r="C18" s="19" t="s">
        <v>3834</v>
      </c>
      <c r="D18" s="210" t="s">
        <v>2356</v>
      </c>
      <c r="E18" s="210" t="s">
        <v>324</v>
      </c>
      <c r="F18" s="210" t="s">
        <v>125</v>
      </c>
      <c r="G18" s="210" t="s">
        <v>682</v>
      </c>
      <c r="H18" s="271" t="s">
        <v>3444</v>
      </c>
      <c r="I18" s="271" t="s">
        <v>3445</v>
      </c>
      <c r="J18" s="271" t="s">
        <v>3446</v>
      </c>
      <c r="K18" s="271" t="s">
        <v>3447</v>
      </c>
      <c r="L18" s="210" t="s">
        <v>1906</v>
      </c>
    </row>
    <row r="19" spans="1:12" ht="12.75">
      <c r="A19" s="82"/>
      <c r="B19" s="399"/>
      <c r="C19" s="15"/>
      <c r="D19" s="15"/>
      <c r="E19" s="15"/>
      <c r="F19" s="15"/>
      <c r="G19" s="15"/>
      <c r="H19" s="49"/>
      <c r="I19" s="49"/>
      <c r="J19" s="49"/>
      <c r="K19" s="49"/>
      <c r="L19" s="15"/>
    </row>
    <row r="20" spans="1:12" ht="15.75">
      <c r="A20" s="440"/>
      <c r="B20" s="441"/>
      <c r="C20" s="508" t="s">
        <v>3381</v>
      </c>
      <c r="D20" s="508"/>
      <c r="E20" s="508"/>
      <c r="F20" s="508"/>
      <c r="G20" s="508"/>
      <c r="H20" s="508"/>
      <c r="I20" s="508"/>
      <c r="J20" s="508"/>
      <c r="K20" s="508"/>
      <c r="L20" s="15"/>
    </row>
    <row r="21" spans="1:12" ht="12.75">
      <c r="A21" s="82" t="s">
        <v>2208</v>
      </c>
      <c r="B21" s="399" t="s">
        <v>3526</v>
      </c>
      <c r="C21" s="20" t="s">
        <v>3448</v>
      </c>
      <c r="D21" s="210" t="s">
        <v>3449</v>
      </c>
      <c r="E21" s="210" t="s">
        <v>3450</v>
      </c>
      <c r="F21" s="210" t="s">
        <v>125</v>
      </c>
      <c r="G21" s="210" t="s">
        <v>1410</v>
      </c>
      <c r="H21" s="271" t="s">
        <v>3451</v>
      </c>
      <c r="I21" s="271" t="s">
        <v>3452</v>
      </c>
      <c r="J21" s="271" t="s">
        <v>3453</v>
      </c>
      <c r="K21" s="271" t="s">
        <v>3454</v>
      </c>
      <c r="L21" s="210" t="s">
        <v>1906</v>
      </c>
    </row>
    <row r="22" spans="1:12" ht="12.75">
      <c r="A22" s="50"/>
      <c r="B22" s="402"/>
      <c r="C22" s="15"/>
      <c r="D22" s="15"/>
      <c r="E22" s="15"/>
      <c r="F22" s="15"/>
      <c r="G22" s="15"/>
      <c r="H22" s="49"/>
      <c r="I22" s="49"/>
      <c r="J22" s="49"/>
      <c r="K22" s="49"/>
      <c r="L22" s="15"/>
    </row>
    <row r="23" spans="1:12" ht="18">
      <c r="A23" s="50"/>
      <c r="B23" s="402"/>
      <c r="C23" s="343" t="s">
        <v>370</v>
      </c>
      <c r="D23" s="343"/>
      <c r="E23" s="15"/>
      <c r="F23" s="15"/>
      <c r="G23" s="15"/>
      <c r="H23" s="49"/>
      <c r="I23" s="49"/>
      <c r="J23" s="49"/>
      <c r="K23" s="49"/>
      <c r="L23" s="15"/>
    </row>
    <row r="24" spans="1:12" ht="15.75">
      <c r="A24" s="50"/>
      <c r="B24" s="402"/>
      <c r="C24" s="22" t="s">
        <v>387</v>
      </c>
      <c r="D24" s="22"/>
      <c r="E24" s="15"/>
      <c r="F24" s="15"/>
      <c r="G24" s="15"/>
      <c r="H24" s="49"/>
      <c r="I24" s="49"/>
      <c r="J24" s="49"/>
      <c r="K24" s="49"/>
      <c r="L24" s="15"/>
    </row>
    <row r="25" spans="1:12" ht="13.5">
      <c r="A25" s="50"/>
      <c r="B25" s="402"/>
      <c r="C25" s="24"/>
      <c r="D25" s="25" t="s">
        <v>2102</v>
      </c>
      <c r="E25" s="15"/>
      <c r="F25" s="15"/>
      <c r="G25" s="15"/>
      <c r="H25" s="49"/>
      <c r="I25" s="49"/>
      <c r="J25" s="49"/>
      <c r="K25" s="49"/>
      <c r="L25" s="15"/>
    </row>
    <row r="26" spans="1:12" ht="13.5">
      <c r="A26" s="50"/>
      <c r="B26" s="402"/>
      <c r="C26" s="26" t="s">
        <v>373</v>
      </c>
      <c r="D26" s="181" t="s">
        <v>374</v>
      </c>
      <c r="E26" s="181" t="s">
        <v>3286</v>
      </c>
      <c r="F26" s="181" t="s">
        <v>377</v>
      </c>
      <c r="G26" s="15"/>
      <c r="H26" s="49"/>
      <c r="I26" s="49"/>
      <c r="J26" s="49"/>
      <c r="K26" s="49"/>
      <c r="L26" s="15"/>
    </row>
    <row r="27" spans="1:12" ht="12.75">
      <c r="A27" s="50" t="s">
        <v>2208</v>
      </c>
      <c r="B27" s="402"/>
      <c r="C27" s="15" t="s">
        <v>3434</v>
      </c>
      <c r="D27" s="49" t="s">
        <v>3189</v>
      </c>
      <c r="E27" s="49" t="s">
        <v>3436</v>
      </c>
      <c r="F27" s="49" t="s">
        <v>3439</v>
      </c>
      <c r="G27" s="15"/>
      <c r="H27" s="49"/>
      <c r="I27" s="49"/>
      <c r="J27" s="49"/>
      <c r="K27" s="49"/>
      <c r="L27" s="15"/>
    </row>
    <row r="28" spans="1:12" ht="12.75">
      <c r="A28" s="50" t="s">
        <v>2209</v>
      </c>
      <c r="B28" s="402"/>
      <c r="C28" s="15" t="s">
        <v>2502</v>
      </c>
      <c r="D28" s="49" t="s">
        <v>3189</v>
      </c>
      <c r="E28" s="49" t="s">
        <v>3481</v>
      </c>
      <c r="F28" s="49" t="s">
        <v>4086</v>
      </c>
      <c r="G28" s="15"/>
      <c r="H28" s="49"/>
      <c r="I28" s="49"/>
      <c r="J28" s="49"/>
      <c r="K28" s="49"/>
      <c r="L28" s="15"/>
    </row>
    <row r="29" spans="1:12" ht="12.75">
      <c r="A29" s="50" t="s">
        <v>2210</v>
      </c>
      <c r="B29" s="402"/>
      <c r="C29" s="15" t="s">
        <v>3429</v>
      </c>
      <c r="D29" s="49" t="s">
        <v>3189</v>
      </c>
      <c r="E29" s="49" t="s">
        <v>638</v>
      </c>
      <c r="F29" s="49" t="s">
        <v>3433</v>
      </c>
      <c r="G29" s="15"/>
      <c r="H29" s="49"/>
      <c r="I29" s="49"/>
      <c r="J29" s="49"/>
      <c r="K29" s="49"/>
      <c r="L29" s="15"/>
    </row>
    <row r="30" spans="1:12" ht="12.75">
      <c r="A30" s="50"/>
      <c r="B30" s="402"/>
      <c r="C30" s="15"/>
      <c r="D30" s="15"/>
      <c r="E30" s="15"/>
      <c r="F30" s="15"/>
      <c r="G30" s="15"/>
      <c r="H30" s="49"/>
      <c r="I30" s="49"/>
      <c r="J30" s="49"/>
      <c r="K30" s="49"/>
      <c r="L30" s="15"/>
    </row>
    <row r="31" spans="1:12" ht="12.75">
      <c r="A31" s="50"/>
      <c r="B31" s="402"/>
      <c r="C31" s="15"/>
      <c r="D31" s="15"/>
      <c r="E31" s="15"/>
      <c r="F31" s="15"/>
      <c r="G31" s="15"/>
      <c r="H31" s="49"/>
      <c r="I31" s="49"/>
      <c r="J31" s="49"/>
      <c r="K31" s="49"/>
      <c r="L31" s="15"/>
    </row>
    <row r="32" spans="1:12" ht="12.75">
      <c r="A32" s="50"/>
      <c r="B32" s="402"/>
      <c r="C32" s="15"/>
      <c r="D32" s="15"/>
      <c r="E32" s="15"/>
      <c r="F32" s="15"/>
      <c r="G32" s="15"/>
      <c r="H32" s="49"/>
      <c r="I32" s="49"/>
      <c r="J32" s="49"/>
      <c r="K32" s="49"/>
      <c r="L32" s="15"/>
    </row>
    <row r="33" spans="1:12" ht="12.75">
      <c r="A33" s="50"/>
      <c r="B33" s="402"/>
      <c r="C33" s="15"/>
      <c r="D33" s="15"/>
      <c r="E33" s="15"/>
      <c r="F33" s="15"/>
      <c r="G33" s="15"/>
      <c r="H33" s="49"/>
      <c r="I33" s="49"/>
      <c r="J33" s="49"/>
      <c r="K33" s="49"/>
      <c r="L33" s="15"/>
    </row>
    <row r="34" spans="1:12" ht="12.75">
      <c r="A34" s="50"/>
      <c r="B34" s="402"/>
      <c r="C34" s="15"/>
      <c r="D34" s="15"/>
      <c r="E34" s="15"/>
      <c r="F34" s="15"/>
      <c r="G34" s="15"/>
      <c r="H34" s="49"/>
      <c r="I34" s="49"/>
      <c r="J34" s="49"/>
      <c r="K34" s="49"/>
      <c r="L34" s="15"/>
    </row>
    <row r="35" spans="1:12" ht="12.75">
      <c r="A35" s="50"/>
      <c r="B35" s="402"/>
      <c r="C35" s="15"/>
      <c r="D35" s="15"/>
      <c r="E35" s="15"/>
      <c r="F35" s="15"/>
      <c r="G35" s="15"/>
      <c r="H35" s="49"/>
      <c r="I35" s="49"/>
      <c r="J35" s="49"/>
      <c r="K35" s="49"/>
      <c r="L35" s="15"/>
    </row>
    <row r="36" spans="1:12" ht="12.75">
      <c r="A36" s="50"/>
      <c r="B36" s="402"/>
      <c r="C36" s="15"/>
      <c r="D36" s="15"/>
      <c r="E36" s="15"/>
      <c r="F36" s="15"/>
      <c r="G36" s="15"/>
      <c r="H36" s="49"/>
      <c r="I36" s="49"/>
      <c r="J36" s="49"/>
      <c r="K36" s="49"/>
      <c r="L36" s="15"/>
    </row>
    <row r="37" spans="1:12" ht="12.75">
      <c r="A37" s="50"/>
      <c r="B37" s="402"/>
      <c r="C37" s="15"/>
      <c r="D37" s="15"/>
      <c r="E37" s="15"/>
      <c r="F37" s="15"/>
      <c r="G37" s="15"/>
      <c r="H37" s="49"/>
      <c r="I37" s="49"/>
      <c r="J37" s="49"/>
      <c r="K37" s="49"/>
      <c r="L37" s="15"/>
    </row>
    <row r="38" spans="1:12" ht="12.75">
      <c r="A38" s="50"/>
      <c r="B38" s="402"/>
      <c r="C38" s="15"/>
      <c r="D38" s="15"/>
      <c r="E38" s="15"/>
      <c r="F38" s="15"/>
      <c r="G38" s="15"/>
      <c r="H38" s="49"/>
      <c r="I38" s="49"/>
      <c r="J38" s="49"/>
      <c r="K38" s="49"/>
      <c r="L38" s="15"/>
    </row>
  </sheetData>
  <sheetProtection/>
  <mergeCells count="17">
    <mergeCell ref="C20:K20"/>
    <mergeCell ref="C1:L1"/>
    <mergeCell ref="C2:L2"/>
    <mergeCell ref="A3:A4"/>
    <mergeCell ref="C3:C4"/>
    <mergeCell ref="E3:E4"/>
    <mergeCell ref="F3:F4"/>
    <mergeCell ref="G3:G4"/>
    <mergeCell ref="H3:I3"/>
    <mergeCell ref="J3:J4"/>
    <mergeCell ref="B3:B4"/>
    <mergeCell ref="L3:L4"/>
    <mergeCell ref="C6:K6"/>
    <mergeCell ref="C9:K9"/>
    <mergeCell ref="C12:K12"/>
    <mergeCell ref="C16:K16"/>
    <mergeCell ref="K3:K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3" sqref="A3:M4"/>
    </sheetView>
  </sheetViews>
  <sheetFormatPr defaultColWidth="11.375" defaultRowHeight="12.75"/>
  <cols>
    <col min="1" max="1" width="8.00390625" style="0" customWidth="1"/>
    <col min="2" max="2" width="12.00390625" style="409" customWidth="1"/>
    <col min="3" max="4" width="23.00390625" style="0" customWidth="1"/>
    <col min="5" max="5" width="16.00390625" style="0" customWidth="1"/>
    <col min="6" max="6" width="13.25390625" style="0" customWidth="1"/>
    <col min="7" max="7" width="31.875" style="0" customWidth="1"/>
    <col min="8" max="8" width="7.875" style="0" customWidth="1"/>
    <col min="9" max="9" width="8.125" style="0" customWidth="1"/>
    <col min="10" max="10" width="8.625" style="0" customWidth="1"/>
    <col min="11" max="11" width="9.375" style="0" customWidth="1"/>
    <col min="12" max="12" width="9.875" style="0" customWidth="1"/>
    <col min="13" max="13" width="15.625" style="0" customWidth="1"/>
  </cols>
  <sheetData>
    <row r="1" spans="1:13" ht="57.75" customHeight="1">
      <c r="A1" s="104"/>
      <c r="B1" s="433"/>
      <c r="C1" s="509" t="s">
        <v>3455</v>
      </c>
      <c r="D1" s="509"/>
      <c r="E1" s="509"/>
      <c r="F1" s="509"/>
      <c r="G1" s="509"/>
      <c r="H1" s="509"/>
      <c r="I1" s="509"/>
      <c r="J1" s="509"/>
      <c r="K1" s="509"/>
      <c r="L1" s="509"/>
      <c r="M1" s="509"/>
    </row>
    <row r="2" spans="1:13" ht="30" thickBot="1">
      <c r="A2" s="104"/>
      <c r="B2" s="433"/>
      <c r="C2" s="509" t="s">
        <v>3283</v>
      </c>
      <c r="D2" s="509"/>
      <c r="E2" s="509"/>
      <c r="F2" s="509"/>
      <c r="G2" s="509"/>
      <c r="H2" s="509"/>
      <c r="I2" s="509"/>
      <c r="J2" s="509"/>
      <c r="K2" s="509"/>
      <c r="L2" s="509"/>
      <c r="M2" s="509"/>
    </row>
    <row r="3" spans="1:13" ht="13.5" customHeight="1">
      <c r="A3" s="512" t="s">
        <v>1627</v>
      </c>
      <c r="B3" s="504" t="s">
        <v>4516</v>
      </c>
      <c r="C3" s="514" t="s">
        <v>0</v>
      </c>
      <c r="D3" s="454" t="s">
        <v>3284</v>
      </c>
      <c r="E3" s="514" t="s">
        <v>3286</v>
      </c>
      <c r="F3" s="514" t="s">
        <v>7</v>
      </c>
      <c r="G3" s="514" t="s">
        <v>3287</v>
      </c>
      <c r="H3" s="514" t="s">
        <v>2</v>
      </c>
      <c r="I3" s="514"/>
      <c r="J3" s="514"/>
      <c r="K3" s="514" t="s">
        <v>1672</v>
      </c>
      <c r="L3" s="514" t="s">
        <v>6</v>
      </c>
      <c r="M3" s="510" t="s">
        <v>5</v>
      </c>
    </row>
    <row r="4" spans="1:13" ht="15" thickBot="1">
      <c r="A4" s="513"/>
      <c r="B4" s="505"/>
      <c r="C4" s="515"/>
      <c r="D4" s="455" t="s">
        <v>3285</v>
      </c>
      <c r="E4" s="515"/>
      <c r="F4" s="515"/>
      <c r="G4" s="515"/>
      <c r="H4" s="457" t="s">
        <v>2208</v>
      </c>
      <c r="I4" s="457" t="s">
        <v>2209</v>
      </c>
      <c r="J4" s="457" t="s">
        <v>2210</v>
      </c>
      <c r="K4" s="515"/>
      <c r="L4" s="515"/>
      <c r="M4" s="511"/>
    </row>
    <row r="5" spans="1:13" ht="13.5">
      <c r="A5" s="184"/>
      <c r="B5" s="302"/>
      <c r="C5" s="184"/>
      <c r="D5" s="184"/>
      <c r="E5" s="184"/>
      <c r="F5" s="184"/>
      <c r="G5" s="184"/>
      <c r="H5" s="270"/>
      <c r="I5" s="270"/>
      <c r="J5" s="270"/>
      <c r="K5" s="184"/>
      <c r="L5" s="184"/>
      <c r="M5" s="184"/>
    </row>
    <row r="6" spans="1:13" ht="15.75">
      <c r="A6" s="282"/>
      <c r="B6" s="432"/>
      <c r="C6" s="526" t="s">
        <v>164</v>
      </c>
      <c r="D6" s="526"/>
      <c r="E6" s="526"/>
      <c r="F6" s="526"/>
      <c r="G6" s="526"/>
      <c r="H6" s="526"/>
      <c r="I6" s="526"/>
      <c r="J6" s="526"/>
      <c r="K6" s="526"/>
      <c r="L6" s="526"/>
      <c r="M6" s="15"/>
    </row>
    <row r="7" spans="1:13" ht="12.75">
      <c r="A7" s="82" t="s">
        <v>2208</v>
      </c>
      <c r="B7" s="399" t="s">
        <v>3489</v>
      </c>
      <c r="C7" s="83" t="s">
        <v>3832</v>
      </c>
      <c r="D7" s="17" t="s">
        <v>3435</v>
      </c>
      <c r="E7" s="84" t="s">
        <v>3436</v>
      </c>
      <c r="F7" s="17" t="s">
        <v>125</v>
      </c>
      <c r="G7" s="84" t="s">
        <v>1410</v>
      </c>
      <c r="H7" s="312" t="s">
        <v>869</v>
      </c>
      <c r="I7" s="309" t="s">
        <v>836</v>
      </c>
      <c r="J7" s="351" t="s">
        <v>855</v>
      </c>
      <c r="K7" s="87" t="s">
        <v>836</v>
      </c>
      <c r="L7" s="264" t="s">
        <v>3456</v>
      </c>
      <c r="M7" s="88" t="s">
        <v>1906</v>
      </c>
    </row>
    <row r="8" spans="1:13" ht="12.75">
      <c r="A8" s="82" t="s">
        <v>2209</v>
      </c>
      <c r="B8" s="399" t="s">
        <v>3493</v>
      </c>
      <c r="C8" s="94" t="s">
        <v>2471</v>
      </c>
      <c r="D8" s="19" t="s">
        <v>2472</v>
      </c>
      <c r="E8" s="98" t="s">
        <v>3440</v>
      </c>
      <c r="F8" s="19" t="s">
        <v>125</v>
      </c>
      <c r="G8" s="98" t="s">
        <v>815</v>
      </c>
      <c r="H8" s="314" t="s">
        <v>237</v>
      </c>
      <c r="I8" s="350" t="s">
        <v>238</v>
      </c>
      <c r="J8" s="352" t="s">
        <v>238</v>
      </c>
      <c r="K8" s="100" t="s">
        <v>237</v>
      </c>
      <c r="L8" s="353">
        <v>135.3</v>
      </c>
      <c r="M8" s="95" t="s">
        <v>1906</v>
      </c>
    </row>
    <row r="9" spans="1:13" ht="12.75">
      <c r="A9" s="82"/>
      <c r="B9" s="399"/>
      <c r="C9" s="15"/>
      <c r="D9" s="15"/>
      <c r="E9" s="15"/>
      <c r="F9" s="15"/>
      <c r="G9" s="15"/>
      <c r="H9" s="49"/>
      <c r="I9" s="49"/>
      <c r="J9" s="49"/>
      <c r="K9" s="50"/>
      <c r="L9" s="49"/>
      <c r="M9" s="15"/>
    </row>
    <row r="10" spans="1:13" ht="15.75">
      <c r="A10" s="282"/>
      <c r="B10" s="432"/>
      <c r="C10" s="508" t="s">
        <v>3319</v>
      </c>
      <c r="D10" s="508"/>
      <c r="E10" s="508"/>
      <c r="F10" s="508"/>
      <c r="G10" s="508"/>
      <c r="H10" s="508"/>
      <c r="I10" s="508"/>
      <c r="J10" s="508"/>
      <c r="K10" s="508"/>
      <c r="L10" s="508"/>
      <c r="M10" s="15"/>
    </row>
    <row r="11" spans="1:13" ht="12.75">
      <c r="A11" s="82" t="s">
        <v>2208</v>
      </c>
      <c r="B11" s="399" t="s">
        <v>3526</v>
      </c>
      <c r="C11" s="20" t="s">
        <v>3834</v>
      </c>
      <c r="D11" s="210" t="s">
        <v>2356</v>
      </c>
      <c r="E11" s="210" t="s">
        <v>324</v>
      </c>
      <c r="F11" s="210" t="s">
        <v>125</v>
      </c>
      <c r="G11" s="210" t="s">
        <v>682</v>
      </c>
      <c r="H11" s="306" t="s">
        <v>884</v>
      </c>
      <c r="I11" s="306" t="s">
        <v>341</v>
      </c>
      <c r="J11" s="344" t="s">
        <v>847</v>
      </c>
      <c r="K11" s="200" t="s">
        <v>341</v>
      </c>
      <c r="L11" s="271" t="s">
        <v>3457</v>
      </c>
      <c r="M11" s="210" t="s">
        <v>1906</v>
      </c>
    </row>
    <row r="12" spans="1:13" ht="12.75">
      <c r="A12" s="82"/>
      <c r="B12" s="399"/>
      <c r="C12" s="15"/>
      <c r="D12" s="15"/>
      <c r="E12" s="15"/>
      <c r="F12" s="15"/>
      <c r="G12" s="15"/>
      <c r="H12" s="49"/>
      <c r="I12" s="49"/>
      <c r="J12" s="49"/>
      <c r="K12" s="50"/>
      <c r="L12" s="49"/>
      <c r="M12" s="15"/>
    </row>
    <row r="13" spans="1:13" ht="18">
      <c r="A13" s="82"/>
      <c r="B13" s="399"/>
      <c r="C13" s="343" t="s">
        <v>370</v>
      </c>
      <c r="D13" s="16"/>
      <c r="E13" s="15"/>
      <c r="F13" s="15"/>
      <c r="G13" s="15"/>
      <c r="H13" s="49"/>
      <c r="I13" s="49"/>
      <c r="J13" s="49"/>
      <c r="K13" s="50"/>
      <c r="L13" s="49"/>
      <c r="M13" s="15"/>
    </row>
    <row r="14" spans="1:13" ht="15.75">
      <c r="A14" s="50"/>
      <c r="B14" s="402"/>
      <c r="C14" s="22" t="s">
        <v>387</v>
      </c>
      <c r="D14" s="22"/>
      <c r="E14" s="15"/>
      <c r="F14" s="15"/>
      <c r="G14" s="15"/>
      <c r="H14" s="49"/>
      <c r="I14" s="49"/>
      <c r="J14" s="49"/>
      <c r="K14" s="50"/>
      <c r="L14" s="49"/>
      <c r="M14" s="15"/>
    </row>
    <row r="15" spans="1:13" ht="13.5">
      <c r="A15" s="50"/>
      <c r="B15" s="402"/>
      <c r="C15" s="24"/>
      <c r="D15" s="25" t="s">
        <v>2102</v>
      </c>
      <c r="E15" s="15"/>
      <c r="F15" s="15"/>
      <c r="G15" s="15"/>
      <c r="H15" s="49"/>
      <c r="I15" s="49"/>
      <c r="J15" s="49"/>
      <c r="K15" s="50"/>
      <c r="L15" s="49"/>
      <c r="M15" s="15"/>
    </row>
    <row r="16" spans="1:13" ht="13.5">
      <c r="A16" s="50"/>
      <c r="B16" s="402"/>
      <c r="C16" s="26" t="s">
        <v>373</v>
      </c>
      <c r="D16" s="181" t="s">
        <v>374</v>
      </c>
      <c r="E16" s="181" t="s">
        <v>3286</v>
      </c>
      <c r="F16" s="181" t="s">
        <v>377</v>
      </c>
      <c r="G16" s="15"/>
      <c r="H16" s="49"/>
      <c r="I16" s="49"/>
      <c r="J16" s="49"/>
      <c r="K16" s="50"/>
      <c r="L16" s="49"/>
      <c r="M16" s="15"/>
    </row>
    <row r="17" spans="1:13" ht="12.75">
      <c r="A17" s="50" t="s">
        <v>2208</v>
      </c>
      <c r="B17" s="402"/>
      <c r="C17" s="15" t="s">
        <v>3434</v>
      </c>
      <c r="D17" s="49" t="s">
        <v>3189</v>
      </c>
      <c r="E17" s="49" t="s">
        <v>3436</v>
      </c>
      <c r="F17" s="49" t="s">
        <v>3456</v>
      </c>
      <c r="G17" s="15"/>
      <c r="H17" s="49"/>
      <c r="I17" s="49"/>
      <c r="J17" s="49"/>
      <c r="K17" s="50"/>
      <c r="L17" s="49"/>
      <c r="M17" s="15"/>
    </row>
    <row r="18" spans="1:13" ht="12.75">
      <c r="A18" s="50" t="s">
        <v>2209</v>
      </c>
      <c r="B18" s="402"/>
      <c r="C18" s="15" t="s">
        <v>3443</v>
      </c>
      <c r="D18" s="49" t="s">
        <v>3189</v>
      </c>
      <c r="E18" s="49" t="s">
        <v>324</v>
      </c>
      <c r="F18" s="49" t="s">
        <v>3457</v>
      </c>
      <c r="G18" s="15"/>
      <c r="H18" s="49"/>
      <c r="I18" s="49"/>
      <c r="J18" s="49"/>
      <c r="K18" s="50"/>
      <c r="L18" s="49"/>
      <c r="M18" s="15"/>
    </row>
    <row r="19" spans="1:13" ht="12.75">
      <c r="A19" s="50" t="s">
        <v>2210</v>
      </c>
      <c r="B19" s="402"/>
      <c r="C19" s="15" t="s">
        <v>2471</v>
      </c>
      <c r="D19" s="49" t="s">
        <v>3189</v>
      </c>
      <c r="E19" s="49" t="s">
        <v>3440</v>
      </c>
      <c r="F19" s="345">
        <v>135.3</v>
      </c>
      <c r="G19" s="15"/>
      <c r="H19" s="49"/>
      <c r="I19" s="49"/>
      <c r="J19" s="49"/>
      <c r="K19" s="50"/>
      <c r="L19" s="49"/>
      <c r="M19" s="15"/>
    </row>
    <row r="20" spans="1:13" ht="12.75">
      <c r="A20" s="50"/>
      <c r="B20" s="402"/>
      <c r="C20" s="15"/>
      <c r="D20" s="15"/>
      <c r="E20" s="15"/>
      <c r="F20" s="15"/>
      <c r="G20" s="15"/>
      <c r="H20" s="49"/>
      <c r="I20" s="49"/>
      <c r="J20" s="49"/>
      <c r="K20" s="50"/>
      <c r="L20" s="49"/>
      <c r="M20" s="15"/>
    </row>
    <row r="21" spans="1:13" ht="12.75">
      <c r="A21" s="50"/>
      <c r="B21" s="402"/>
      <c r="C21" s="15"/>
      <c r="D21" s="15"/>
      <c r="E21" s="15"/>
      <c r="F21" s="15"/>
      <c r="G21" s="15"/>
      <c r="H21" s="49"/>
      <c r="I21" s="49"/>
      <c r="J21" s="49"/>
      <c r="K21" s="50"/>
      <c r="L21" s="49"/>
      <c r="M21" s="15"/>
    </row>
    <row r="22" spans="1:13" ht="12.75">
      <c r="A22" s="50"/>
      <c r="B22" s="402"/>
      <c r="C22" s="15"/>
      <c r="D22" s="15"/>
      <c r="E22" s="15"/>
      <c r="F22" s="15"/>
      <c r="G22" s="15"/>
      <c r="H22" s="49"/>
      <c r="I22" s="49"/>
      <c r="J22" s="49"/>
      <c r="K22" s="50"/>
      <c r="L22" s="49"/>
      <c r="M22" s="15"/>
    </row>
    <row r="23" spans="1:13" ht="12.75">
      <c r="A23" s="50"/>
      <c r="B23" s="402"/>
      <c r="C23" s="15"/>
      <c r="D23" s="15"/>
      <c r="E23" s="15"/>
      <c r="F23" s="15"/>
      <c r="G23" s="15"/>
      <c r="H23" s="49"/>
      <c r="I23" s="49"/>
      <c r="J23" s="49"/>
      <c r="K23" s="50"/>
      <c r="L23" s="49"/>
      <c r="M23" s="15"/>
    </row>
  </sheetData>
  <sheetProtection/>
  <mergeCells count="14">
    <mergeCell ref="A3:A4"/>
    <mergeCell ref="C3:C4"/>
    <mergeCell ref="E3:E4"/>
    <mergeCell ref="F3:F4"/>
    <mergeCell ref="G3:G4"/>
    <mergeCell ref="H3:J3"/>
    <mergeCell ref="M3:M4"/>
    <mergeCell ref="C6:L6"/>
    <mergeCell ref="C10:L10"/>
    <mergeCell ref="B3:B4"/>
    <mergeCell ref="C1:M1"/>
    <mergeCell ref="C2:M2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15" sqref="A15:M15"/>
    </sheetView>
  </sheetViews>
  <sheetFormatPr defaultColWidth="11.375" defaultRowHeight="12.75"/>
  <cols>
    <col min="1" max="1" width="8.625" style="0" customWidth="1"/>
    <col min="2" max="2" width="10.75390625" style="409" customWidth="1"/>
    <col min="3" max="3" width="25.25390625" style="0" customWidth="1"/>
    <col min="4" max="4" width="23.875" style="0" customWidth="1"/>
    <col min="5" max="5" width="11.375" style="0" customWidth="1"/>
    <col min="6" max="6" width="13.125" style="0" customWidth="1"/>
    <col min="7" max="7" width="32.25390625" style="0" customWidth="1"/>
    <col min="8" max="11" width="5.375" style="0" customWidth="1"/>
    <col min="12" max="12" width="11.375" style="0" customWidth="1"/>
    <col min="13" max="13" width="16.375" style="0" customWidth="1"/>
  </cols>
  <sheetData>
    <row r="1" spans="1:14" ht="57.75" customHeight="1">
      <c r="A1" s="82"/>
      <c r="B1" s="399"/>
      <c r="C1" s="509" t="s">
        <v>3139</v>
      </c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104"/>
    </row>
    <row r="2" spans="1:14" ht="30" thickBot="1">
      <c r="A2" s="82"/>
      <c r="B2" s="399"/>
      <c r="C2" s="509" t="s">
        <v>2322</v>
      </c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49"/>
    </row>
    <row r="3" spans="1:14" ht="21" customHeight="1">
      <c r="A3" s="512" t="s">
        <v>1627</v>
      </c>
      <c r="B3" s="516" t="s">
        <v>4516</v>
      </c>
      <c r="C3" s="514" t="s">
        <v>0</v>
      </c>
      <c r="D3" s="516" t="s">
        <v>2271</v>
      </c>
      <c r="E3" s="516" t="s">
        <v>1629</v>
      </c>
      <c r="F3" s="514" t="s">
        <v>7</v>
      </c>
      <c r="G3" s="514" t="s">
        <v>2273</v>
      </c>
      <c r="H3" s="514" t="s">
        <v>3</v>
      </c>
      <c r="I3" s="514"/>
      <c r="J3" s="514"/>
      <c r="K3" s="514"/>
      <c r="L3" s="514" t="s">
        <v>1672</v>
      </c>
      <c r="M3" s="510" t="s">
        <v>5</v>
      </c>
      <c r="N3" s="184"/>
    </row>
    <row r="4" spans="1:14" ht="22.5" customHeight="1" thickBot="1">
      <c r="A4" s="513"/>
      <c r="B4" s="517"/>
      <c r="C4" s="515"/>
      <c r="D4" s="517"/>
      <c r="E4" s="517"/>
      <c r="F4" s="515"/>
      <c r="G4" s="515"/>
      <c r="H4" s="457" t="s">
        <v>2208</v>
      </c>
      <c r="I4" s="457" t="s">
        <v>2209</v>
      </c>
      <c r="J4" s="457" t="s">
        <v>2210</v>
      </c>
      <c r="K4" s="457" t="s">
        <v>2956</v>
      </c>
      <c r="L4" s="515"/>
      <c r="M4" s="511"/>
      <c r="N4" s="184"/>
    </row>
    <row r="5" spans="1:13" ht="15.75">
      <c r="A5" s="29"/>
      <c r="B5" s="410"/>
      <c r="C5" s="508" t="s">
        <v>80</v>
      </c>
      <c r="D5" s="508"/>
      <c r="E5" s="508"/>
      <c r="F5" s="508"/>
      <c r="G5" s="508"/>
      <c r="H5" s="508"/>
      <c r="I5" s="508"/>
      <c r="J5" s="508"/>
      <c r="K5" s="508"/>
      <c r="L5" s="508"/>
      <c r="M5" s="15"/>
    </row>
    <row r="6" spans="1:13" ht="12.75">
      <c r="A6" s="29">
        <v>1</v>
      </c>
      <c r="B6" s="410"/>
      <c r="C6" s="20" t="s">
        <v>3964</v>
      </c>
      <c r="D6" s="210" t="s">
        <v>3140</v>
      </c>
      <c r="E6" s="210" t="s">
        <v>3141</v>
      </c>
      <c r="F6" s="210" t="s">
        <v>31</v>
      </c>
      <c r="G6" s="210" t="s">
        <v>302</v>
      </c>
      <c r="H6" s="233" t="s">
        <v>3142</v>
      </c>
      <c r="I6" s="233" t="s">
        <v>3143</v>
      </c>
      <c r="J6" s="233" t="s">
        <v>2192</v>
      </c>
      <c r="K6" s="201"/>
      <c r="L6" s="200" t="s">
        <v>2192</v>
      </c>
      <c r="M6" s="210" t="s">
        <v>3144</v>
      </c>
    </row>
    <row r="7" spans="1:13" ht="12.75">
      <c r="A7" s="29"/>
      <c r="B7" s="410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5.75">
      <c r="A8" s="29"/>
      <c r="B8" s="410"/>
      <c r="C8" s="508" t="s">
        <v>2977</v>
      </c>
      <c r="D8" s="508"/>
      <c r="E8" s="508"/>
      <c r="F8" s="508"/>
      <c r="G8" s="508"/>
      <c r="H8" s="508"/>
      <c r="I8" s="508"/>
      <c r="J8" s="508"/>
      <c r="K8" s="508"/>
      <c r="L8" s="508"/>
      <c r="M8" s="15"/>
    </row>
    <row r="9" spans="1:13" ht="12.75">
      <c r="A9" s="29">
        <v>1</v>
      </c>
      <c r="B9" s="410">
        <v>12</v>
      </c>
      <c r="C9" s="20" t="s">
        <v>3127</v>
      </c>
      <c r="D9" s="210" t="s">
        <v>3128</v>
      </c>
      <c r="E9" s="210" t="s">
        <v>1960</v>
      </c>
      <c r="F9" s="210" t="s">
        <v>2293</v>
      </c>
      <c r="G9" s="210" t="s">
        <v>23</v>
      </c>
      <c r="H9" s="233" t="s">
        <v>3145</v>
      </c>
      <c r="I9" s="233" t="s">
        <v>3143</v>
      </c>
      <c r="J9" s="136" t="s">
        <v>506</v>
      </c>
      <c r="K9" s="201"/>
      <c r="L9" s="200" t="s">
        <v>3143</v>
      </c>
      <c r="M9" s="210" t="s">
        <v>51</v>
      </c>
    </row>
    <row r="10" spans="1:13" ht="12.75">
      <c r="A10" s="29"/>
      <c r="B10" s="410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5.75">
      <c r="A11" s="29"/>
      <c r="B11" s="410"/>
      <c r="C11" s="508" t="s">
        <v>59</v>
      </c>
      <c r="D11" s="508"/>
      <c r="E11" s="508"/>
      <c r="F11" s="508"/>
      <c r="G11" s="508"/>
      <c r="H11" s="508"/>
      <c r="I11" s="508"/>
      <c r="J11" s="508"/>
      <c r="K11" s="508"/>
      <c r="L11" s="508"/>
      <c r="M11" s="15"/>
    </row>
    <row r="12" spans="1:13" ht="12.75">
      <c r="A12" s="29">
        <v>1</v>
      </c>
      <c r="B12" s="410"/>
      <c r="C12" s="20" t="s">
        <v>3965</v>
      </c>
      <c r="D12" s="210" t="s">
        <v>3146</v>
      </c>
      <c r="E12" s="210" t="s">
        <v>1718</v>
      </c>
      <c r="F12" s="210" t="s">
        <v>31</v>
      </c>
      <c r="G12" s="210" t="s">
        <v>3147</v>
      </c>
      <c r="H12" s="233" t="s">
        <v>505</v>
      </c>
      <c r="I12" s="233" t="s">
        <v>506</v>
      </c>
      <c r="J12" s="136" t="s">
        <v>3151</v>
      </c>
      <c r="K12" s="201"/>
      <c r="L12" s="200" t="s">
        <v>506</v>
      </c>
      <c r="M12" s="210" t="s">
        <v>51</v>
      </c>
    </row>
    <row r="13" spans="1:13" ht="12.75">
      <c r="A13" s="29"/>
      <c r="B13" s="410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5.75">
      <c r="A14" s="29"/>
      <c r="B14" s="410"/>
      <c r="C14" s="508" t="s">
        <v>164</v>
      </c>
      <c r="D14" s="508"/>
      <c r="E14" s="508"/>
      <c r="F14" s="508"/>
      <c r="G14" s="508"/>
      <c r="H14" s="508"/>
      <c r="I14" s="508"/>
      <c r="J14" s="508"/>
      <c r="K14" s="508"/>
      <c r="L14" s="508"/>
      <c r="M14" s="15"/>
    </row>
    <row r="15" spans="1:13" ht="12.75">
      <c r="A15" s="29">
        <v>1</v>
      </c>
      <c r="B15" s="410"/>
      <c r="C15" s="20" t="s">
        <v>3966</v>
      </c>
      <c r="D15" s="210" t="s">
        <v>3149</v>
      </c>
      <c r="E15" s="210" t="s">
        <v>2022</v>
      </c>
      <c r="F15" s="210" t="s">
        <v>2115</v>
      </c>
      <c r="G15" s="210" t="s">
        <v>302</v>
      </c>
      <c r="H15" s="233" t="s">
        <v>2859</v>
      </c>
      <c r="I15" s="233" t="s">
        <v>39</v>
      </c>
      <c r="J15" s="233" t="s">
        <v>2191</v>
      </c>
      <c r="K15" s="238" t="s">
        <v>15</v>
      </c>
      <c r="L15" s="200" t="s">
        <v>2191</v>
      </c>
      <c r="M15" s="210" t="s">
        <v>3150</v>
      </c>
    </row>
    <row r="16" spans="1:13" ht="12.75">
      <c r="A16" s="29"/>
      <c r="B16" s="4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5.75">
      <c r="A17" s="29"/>
      <c r="B17" s="410"/>
      <c r="C17" s="508" t="s">
        <v>227</v>
      </c>
      <c r="D17" s="508"/>
      <c r="E17" s="508"/>
      <c r="F17" s="508"/>
      <c r="G17" s="508"/>
      <c r="H17" s="508"/>
      <c r="I17" s="508"/>
      <c r="J17" s="508"/>
      <c r="K17" s="508"/>
      <c r="L17" s="508"/>
      <c r="M17" s="15"/>
    </row>
    <row r="18" spans="1:13" ht="12.75">
      <c r="A18" s="29">
        <v>1</v>
      </c>
      <c r="B18" s="410"/>
      <c r="C18" s="17" t="s">
        <v>3967</v>
      </c>
      <c r="D18" s="88" t="s">
        <v>3131</v>
      </c>
      <c r="E18" s="88" t="s">
        <v>2024</v>
      </c>
      <c r="F18" s="88" t="s">
        <v>31</v>
      </c>
      <c r="G18" s="88" t="s">
        <v>2980</v>
      </c>
      <c r="H18" s="231" t="s">
        <v>2859</v>
      </c>
      <c r="I18" s="231" t="s">
        <v>2191</v>
      </c>
      <c r="J18" s="231" t="s">
        <v>15</v>
      </c>
      <c r="K18" s="121" t="s">
        <v>40</v>
      </c>
      <c r="L18" s="110" t="s">
        <v>15</v>
      </c>
      <c r="M18" s="88" t="s">
        <v>51</v>
      </c>
    </row>
    <row r="19" spans="1:13" ht="12.75">
      <c r="A19" s="29">
        <v>2</v>
      </c>
      <c r="B19" s="410"/>
      <c r="C19" s="19" t="s">
        <v>3093</v>
      </c>
      <c r="D19" s="95" t="s">
        <v>3094</v>
      </c>
      <c r="E19" s="95" t="s">
        <v>1752</v>
      </c>
      <c r="F19" s="95" t="s">
        <v>31</v>
      </c>
      <c r="G19" s="95" t="s">
        <v>2409</v>
      </c>
      <c r="H19" s="234" t="s">
        <v>3143</v>
      </c>
      <c r="I19" s="234" t="s">
        <v>2192</v>
      </c>
      <c r="J19" s="234" t="s">
        <v>505</v>
      </c>
      <c r="K19" s="109"/>
      <c r="L19" s="111" t="s">
        <v>505</v>
      </c>
      <c r="M19" s="95" t="s">
        <v>51</v>
      </c>
    </row>
    <row r="20" spans="1:13" ht="12.75">
      <c r="A20" s="29"/>
      <c r="B20" s="4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5.75">
      <c r="A21" s="29"/>
      <c r="B21" s="410"/>
      <c r="C21" s="508" t="s">
        <v>499</v>
      </c>
      <c r="D21" s="508"/>
      <c r="E21" s="508"/>
      <c r="F21" s="508"/>
      <c r="G21" s="508"/>
      <c r="H21" s="508"/>
      <c r="I21" s="508"/>
      <c r="J21" s="508"/>
      <c r="K21" s="508"/>
      <c r="L21" s="508"/>
      <c r="M21" s="15"/>
    </row>
    <row r="22" spans="1:13" ht="12.75">
      <c r="A22" s="29">
        <v>1</v>
      </c>
      <c r="B22" s="410"/>
      <c r="C22" s="20" t="s">
        <v>3967</v>
      </c>
      <c r="D22" s="210" t="s">
        <v>3137</v>
      </c>
      <c r="E22" s="210" t="s">
        <v>2024</v>
      </c>
      <c r="F22" s="210" t="s">
        <v>31</v>
      </c>
      <c r="G22" s="210" t="s">
        <v>2980</v>
      </c>
      <c r="H22" s="233" t="s">
        <v>2859</v>
      </c>
      <c r="I22" s="233" t="s">
        <v>2191</v>
      </c>
      <c r="J22" s="233" t="s">
        <v>15</v>
      </c>
      <c r="K22" s="136" t="s">
        <v>40</v>
      </c>
      <c r="L22" s="200" t="s">
        <v>15</v>
      </c>
      <c r="M22" s="210" t="s">
        <v>51</v>
      </c>
    </row>
    <row r="23" spans="1:13" ht="12.75">
      <c r="A23" s="29"/>
      <c r="B23" s="41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8">
      <c r="A24" s="29"/>
      <c r="B24" s="410"/>
      <c r="C24" s="16" t="s">
        <v>370</v>
      </c>
      <c r="D24" s="16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5.75">
      <c r="A25" s="29"/>
      <c r="B25" s="410"/>
      <c r="C25" s="22" t="s">
        <v>387</v>
      </c>
      <c r="D25" s="22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3.5">
      <c r="A26" s="29"/>
      <c r="B26" s="410"/>
      <c r="C26" s="24"/>
      <c r="D26" s="25" t="s">
        <v>2102</v>
      </c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3.5">
      <c r="A27" s="29"/>
      <c r="B27" s="410"/>
      <c r="C27" s="26" t="s">
        <v>373</v>
      </c>
      <c r="D27" s="181" t="s">
        <v>374</v>
      </c>
      <c r="E27" s="181" t="s">
        <v>375</v>
      </c>
      <c r="F27" s="181" t="s">
        <v>376</v>
      </c>
      <c r="G27" s="15"/>
      <c r="H27" s="15"/>
      <c r="I27" s="15"/>
      <c r="J27" s="15"/>
      <c r="K27" s="15"/>
      <c r="L27" s="15"/>
      <c r="M27" s="15"/>
    </row>
    <row r="28" spans="1:13" ht="12.75">
      <c r="A28" s="410">
        <v>1</v>
      </c>
      <c r="B28" s="410"/>
      <c r="C28" s="90" t="s">
        <v>3130</v>
      </c>
      <c r="D28" s="49" t="s">
        <v>372</v>
      </c>
      <c r="E28" s="50" t="s">
        <v>1684</v>
      </c>
      <c r="F28" s="50" t="s">
        <v>15</v>
      </c>
      <c r="G28" s="15"/>
      <c r="H28" s="15"/>
      <c r="I28" s="15"/>
      <c r="J28" s="15"/>
      <c r="K28" s="15"/>
      <c r="L28" s="15"/>
      <c r="M28" s="15"/>
    </row>
    <row r="29" spans="1:13" ht="12.75">
      <c r="A29" s="410">
        <v>2</v>
      </c>
      <c r="B29" s="410"/>
      <c r="C29" s="90" t="s">
        <v>3148</v>
      </c>
      <c r="D29" s="49" t="s">
        <v>372</v>
      </c>
      <c r="E29" s="50" t="s">
        <v>1645</v>
      </c>
      <c r="F29" s="50" t="s">
        <v>2191</v>
      </c>
      <c r="G29" s="15"/>
      <c r="H29" s="15"/>
      <c r="I29" s="15"/>
      <c r="J29" s="15"/>
      <c r="K29" s="15"/>
      <c r="L29" s="15"/>
      <c r="M29" s="15"/>
    </row>
    <row r="30" spans="1:13" ht="12.75">
      <c r="A30" s="410">
        <v>3</v>
      </c>
      <c r="B30" s="410"/>
      <c r="C30" s="90" t="s">
        <v>3093</v>
      </c>
      <c r="D30" s="49" t="s">
        <v>372</v>
      </c>
      <c r="E30" s="50" t="s">
        <v>1684</v>
      </c>
      <c r="F30" s="50" t="s">
        <v>505</v>
      </c>
      <c r="G30" s="15"/>
      <c r="H30" s="15"/>
      <c r="I30" s="15"/>
      <c r="J30" s="15"/>
      <c r="K30" s="15"/>
      <c r="L30" s="15"/>
      <c r="M30" s="15"/>
    </row>
    <row r="31" spans="1:13" ht="12.75">
      <c r="A31" s="29"/>
      <c r="B31" s="410"/>
      <c r="C31" s="15"/>
      <c r="D31" s="49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2.75">
      <c r="A32" s="29"/>
      <c r="B32" s="4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2.75">
      <c r="A33" s="29"/>
      <c r="B33" s="41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</sheetData>
  <sheetProtection/>
  <mergeCells count="18">
    <mergeCell ref="B3:B4"/>
    <mergeCell ref="C11:L11"/>
    <mergeCell ref="C14:L14"/>
    <mergeCell ref="C17:L17"/>
    <mergeCell ref="C21:L21"/>
    <mergeCell ref="G3:G4"/>
    <mergeCell ref="H3:K3"/>
    <mergeCell ref="L3:L4"/>
    <mergeCell ref="M3:M4"/>
    <mergeCell ref="C5:L5"/>
    <mergeCell ref="C8:L8"/>
    <mergeCell ref="C1:M1"/>
    <mergeCell ref="C2:M2"/>
    <mergeCell ref="A3:A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A3" sqref="A3:R4"/>
    </sheetView>
  </sheetViews>
  <sheetFormatPr defaultColWidth="11.375" defaultRowHeight="12.75"/>
  <cols>
    <col min="1" max="1" width="7.875" style="0" customWidth="1"/>
    <col min="2" max="2" width="11.125" style="409" customWidth="1"/>
    <col min="3" max="3" width="22.75390625" style="0" customWidth="1"/>
    <col min="4" max="4" width="22.875" style="0" customWidth="1"/>
    <col min="5" max="5" width="17.875" style="0" customWidth="1"/>
    <col min="6" max="6" width="9.75390625" style="0" customWidth="1"/>
    <col min="7" max="7" width="31.625" style="0" customWidth="1"/>
    <col min="8" max="10" width="6.125" style="0" customWidth="1"/>
    <col min="11" max="11" width="9.00390625" style="0" customWidth="1"/>
    <col min="12" max="12" width="6.125" style="0" customWidth="1"/>
    <col min="13" max="13" width="8.875" style="0" customWidth="1"/>
    <col min="14" max="14" width="10.375" style="0" customWidth="1"/>
    <col min="15" max="15" width="6.125" style="0" customWidth="1"/>
    <col min="16" max="16" width="8.00390625" style="0" customWidth="1"/>
    <col min="17" max="17" width="11.625" style="0" customWidth="1"/>
    <col min="18" max="18" width="16.75390625" style="0" customWidth="1"/>
  </cols>
  <sheetData>
    <row r="1" spans="1:18" ht="57.75" customHeight="1">
      <c r="A1" s="104"/>
      <c r="B1" s="433"/>
      <c r="C1" s="509" t="s">
        <v>3461</v>
      </c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82"/>
      <c r="Q1" s="104"/>
      <c r="R1" s="104"/>
    </row>
    <row r="2" spans="1:18" ht="30" thickBot="1">
      <c r="A2" s="104"/>
      <c r="B2" s="433"/>
      <c r="C2" s="509" t="s">
        <v>3283</v>
      </c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82"/>
      <c r="Q2" s="104"/>
      <c r="R2" s="104"/>
    </row>
    <row r="3" spans="1:18" ht="13.5">
      <c r="A3" s="500" t="s">
        <v>1627</v>
      </c>
      <c r="B3" s="504" t="s">
        <v>4516</v>
      </c>
      <c r="C3" s="502" t="s">
        <v>0</v>
      </c>
      <c r="D3" s="269" t="s">
        <v>3284</v>
      </c>
      <c r="E3" s="502" t="s">
        <v>3286</v>
      </c>
      <c r="F3" s="502" t="s">
        <v>7</v>
      </c>
      <c r="G3" s="502" t="s">
        <v>3287</v>
      </c>
      <c r="H3" s="529" t="s">
        <v>3388</v>
      </c>
      <c r="I3" s="522"/>
      <c r="J3" s="523"/>
      <c r="K3" s="502" t="s">
        <v>1672</v>
      </c>
      <c r="L3" s="502" t="s">
        <v>3389</v>
      </c>
      <c r="M3" s="529" t="s">
        <v>3288</v>
      </c>
      <c r="N3" s="523"/>
      <c r="O3" s="502" t="s">
        <v>3389</v>
      </c>
      <c r="P3" s="504" t="s">
        <v>3390</v>
      </c>
      <c r="Q3" s="502" t="s">
        <v>6</v>
      </c>
      <c r="R3" s="506" t="s">
        <v>5</v>
      </c>
    </row>
    <row r="4" spans="1:18" ht="15" thickBot="1">
      <c r="A4" s="501"/>
      <c r="B4" s="505"/>
      <c r="C4" s="503"/>
      <c r="D4" s="268" t="s">
        <v>3285</v>
      </c>
      <c r="E4" s="503"/>
      <c r="F4" s="503"/>
      <c r="G4" s="503"/>
      <c r="H4" s="319" t="s">
        <v>2208</v>
      </c>
      <c r="I4" s="319" t="s">
        <v>2209</v>
      </c>
      <c r="J4" s="319" t="s">
        <v>2210</v>
      </c>
      <c r="K4" s="503"/>
      <c r="L4" s="503"/>
      <c r="M4" s="319" t="s">
        <v>2604</v>
      </c>
      <c r="N4" s="319" t="s">
        <v>3289</v>
      </c>
      <c r="O4" s="503"/>
      <c r="P4" s="505"/>
      <c r="Q4" s="503"/>
      <c r="R4" s="507"/>
    </row>
    <row r="5" spans="1:18" ht="13.5">
      <c r="A5" s="184"/>
      <c r="B5" s="302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302"/>
      <c r="Q5" s="184"/>
      <c r="R5" s="184"/>
    </row>
    <row r="6" spans="1:17" ht="15.75">
      <c r="A6" s="282"/>
      <c r="B6" s="432"/>
      <c r="C6" s="526" t="s">
        <v>59</v>
      </c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0"/>
      <c r="P6" s="29"/>
      <c r="Q6" s="229"/>
    </row>
    <row r="7" spans="1:18" ht="12.75">
      <c r="A7" s="82" t="s">
        <v>2208</v>
      </c>
      <c r="B7" s="399" t="s">
        <v>3526</v>
      </c>
      <c r="C7" s="83" t="s">
        <v>3462</v>
      </c>
      <c r="D7" s="17" t="s">
        <v>3463</v>
      </c>
      <c r="E7" s="84" t="s">
        <v>3464</v>
      </c>
      <c r="F7" s="17" t="s">
        <v>125</v>
      </c>
      <c r="G7" s="84" t="s">
        <v>2702</v>
      </c>
      <c r="H7" s="312" t="s">
        <v>127</v>
      </c>
      <c r="I7" s="309" t="s">
        <v>121</v>
      </c>
      <c r="J7" s="351" t="s">
        <v>192</v>
      </c>
      <c r="K7" s="87" t="s">
        <v>121</v>
      </c>
      <c r="L7" s="35" t="s">
        <v>3391</v>
      </c>
      <c r="M7" s="354">
        <v>135</v>
      </c>
      <c r="N7" s="359">
        <v>20</v>
      </c>
      <c r="O7" s="355">
        <v>20</v>
      </c>
      <c r="P7" s="360">
        <v>40</v>
      </c>
      <c r="Q7" s="356">
        <v>8531.174</v>
      </c>
      <c r="R7" s="17" t="s">
        <v>1906</v>
      </c>
    </row>
    <row r="8" spans="1:18" ht="12.75">
      <c r="A8" s="82" t="s">
        <v>2209</v>
      </c>
      <c r="B8" s="399"/>
      <c r="C8" s="94" t="s">
        <v>3465</v>
      </c>
      <c r="D8" s="19" t="s">
        <v>3466</v>
      </c>
      <c r="E8" s="98" t="s">
        <v>3467</v>
      </c>
      <c r="F8" s="19" t="s">
        <v>31</v>
      </c>
      <c r="G8" s="98" t="s">
        <v>1410</v>
      </c>
      <c r="H8" s="314" t="s">
        <v>153</v>
      </c>
      <c r="I8" s="310" t="s">
        <v>127</v>
      </c>
      <c r="J8" s="314" t="s">
        <v>108</v>
      </c>
      <c r="K8" s="100" t="s">
        <v>108</v>
      </c>
      <c r="L8" s="41" t="s">
        <v>2731</v>
      </c>
      <c r="M8" s="281" t="s">
        <v>3468</v>
      </c>
      <c r="N8" s="265" t="s">
        <v>2610</v>
      </c>
      <c r="O8" s="357">
        <v>18</v>
      </c>
      <c r="P8" s="361">
        <v>36</v>
      </c>
      <c r="Q8" s="358">
        <v>8045.8949</v>
      </c>
      <c r="R8" s="19" t="s">
        <v>1906</v>
      </c>
    </row>
    <row r="9" spans="1:17" ht="12.75">
      <c r="A9" s="82"/>
      <c r="B9" s="399"/>
      <c r="C9" s="15"/>
      <c r="D9" s="15"/>
      <c r="E9" s="15"/>
      <c r="F9" s="15"/>
      <c r="G9" s="15"/>
      <c r="H9" s="49"/>
      <c r="I9" s="49"/>
      <c r="J9" s="49"/>
      <c r="K9" s="50"/>
      <c r="L9" s="50"/>
      <c r="M9" s="49"/>
      <c r="N9" s="49"/>
      <c r="O9" s="50"/>
      <c r="P9" s="29"/>
      <c r="Q9" s="229"/>
    </row>
    <row r="10" spans="1:17" ht="15.75">
      <c r="A10" s="282"/>
      <c r="B10" s="432"/>
      <c r="C10" s="526" t="s">
        <v>164</v>
      </c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50"/>
      <c r="P10" s="29"/>
      <c r="Q10" s="229"/>
    </row>
    <row r="11" spans="1:18" ht="12.75">
      <c r="A11" s="82" t="s">
        <v>2208</v>
      </c>
      <c r="B11" s="399" t="s">
        <v>2708</v>
      </c>
      <c r="C11" s="83" t="s">
        <v>3835</v>
      </c>
      <c r="D11" s="17" t="s">
        <v>3435</v>
      </c>
      <c r="E11" s="84" t="s">
        <v>3436</v>
      </c>
      <c r="F11" s="17" t="s">
        <v>125</v>
      </c>
      <c r="G11" s="84" t="s">
        <v>1410</v>
      </c>
      <c r="H11" s="312" t="s">
        <v>3469</v>
      </c>
      <c r="I11" s="309" t="s">
        <v>3470</v>
      </c>
      <c r="J11" s="352" t="s">
        <v>3471</v>
      </c>
      <c r="K11" s="87" t="s">
        <v>3470</v>
      </c>
      <c r="L11" s="35" t="s">
        <v>3391</v>
      </c>
      <c r="M11" s="280" t="s">
        <v>3472</v>
      </c>
      <c r="N11" s="264" t="s">
        <v>2620</v>
      </c>
      <c r="O11" s="87" t="s">
        <v>3391</v>
      </c>
      <c r="P11" s="35" t="s">
        <v>3392</v>
      </c>
      <c r="Q11" s="280" t="s">
        <v>4084</v>
      </c>
      <c r="R11" s="17" t="s">
        <v>1906</v>
      </c>
    </row>
    <row r="12" spans="1:18" ht="12.75">
      <c r="A12" s="82" t="s">
        <v>2209</v>
      </c>
      <c r="B12" s="399" t="s">
        <v>3493</v>
      </c>
      <c r="C12" s="94" t="s">
        <v>3833</v>
      </c>
      <c r="D12" s="19" t="s">
        <v>2472</v>
      </c>
      <c r="E12" s="98" t="s">
        <v>3440</v>
      </c>
      <c r="F12" s="19" t="s">
        <v>125</v>
      </c>
      <c r="G12" s="98" t="s">
        <v>815</v>
      </c>
      <c r="H12" s="314" t="s">
        <v>237</v>
      </c>
      <c r="I12" s="350" t="s">
        <v>238</v>
      </c>
      <c r="J12" s="352" t="s">
        <v>4083</v>
      </c>
      <c r="K12" s="100" t="s">
        <v>237</v>
      </c>
      <c r="L12" s="41" t="s">
        <v>2731</v>
      </c>
      <c r="M12" s="281" t="s">
        <v>3472</v>
      </c>
      <c r="N12" s="265" t="s">
        <v>2614</v>
      </c>
      <c r="O12" s="357">
        <v>18</v>
      </c>
      <c r="P12" s="361">
        <v>36</v>
      </c>
      <c r="Q12" s="281" t="s">
        <v>3473</v>
      </c>
      <c r="R12" s="19" t="s">
        <v>1906</v>
      </c>
    </row>
    <row r="13" spans="1:17" ht="12.75">
      <c r="A13" s="82"/>
      <c r="B13" s="399"/>
      <c r="C13" s="15"/>
      <c r="D13" s="15"/>
      <c r="E13" s="15"/>
      <c r="F13" s="15"/>
      <c r="G13" s="15"/>
      <c r="H13" s="49"/>
      <c r="I13" s="49"/>
      <c r="J13" s="49"/>
      <c r="K13" s="50"/>
      <c r="L13" s="50"/>
      <c r="M13" s="49"/>
      <c r="N13" s="49"/>
      <c r="O13" s="50"/>
      <c r="P13" s="29"/>
      <c r="Q13" s="229"/>
    </row>
    <row r="14" spans="1:17" ht="15.75">
      <c r="A14" s="282"/>
      <c r="B14" s="432"/>
      <c r="C14" s="526" t="s">
        <v>3319</v>
      </c>
      <c r="D14" s="526"/>
      <c r="E14" s="526"/>
      <c r="F14" s="526"/>
      <c r="G14" s="526"/>
      <c r="H14" s="526"/>
      <c r="I14" s="526"/>
      <c r="J14" s="526"/>
      <c r="K14" s="526"/>
      <c r="L14" s="526"/>
      <c r="M14" s="526"/>
      <c r="N14" s="526"/>
      <c r="O14" s="50"/>
      <c r="P14" s="29"/>
      <c r="Q14" s="229"/>
    </row>
    <row r="15" spans="1:18" ht="12.75">
      <c r="A15" s="82" t="s">
        <v>2208</v>
      </c>
      <c r="B15" s="399" t="s">
        <v>3489</v>
      </c>
      <c r="C15" s="83" t="s">
        <v>3836</v>
      </c>
      <c r="D15" s="17" t="s">
        <v>1195</v>
      </c>
      <c r="E15" s="84" t="s">
        <v>324</v>
      </c>
      <c r="F15" s="17" t="s">
        <v>125</v>
      </c>
      <c r="G15" s="84" t="s">
        <v>1410</v>
      </c>
      <c r="H15" s="312" t="s">
        <v>341</v>
      </c>
      <c r="I15" s="309" t="s">
        <v>847</v>
      </c>
      <c r="J15" s="312" t="s">
        <v>860</v>
      </c>
      <c r="K15" s="87" t="s">
        <v>860</v>
      </c>
      <c r="L15" s="35" t="s">
        <v>3391</v>
      </c>
      <c r="M15" s="280" t="s">
        <v>127</v>
      </c>
      <c r="N15" s="264" t="s">
        <v>2698</v>
      </c>
      <c r="O15" s="87" t="s">
        <v>3391</v>
      </c>
      <c r="P15" s="35" t="s">
        <v>3392</v>
      </c>
      <c r="Q15" s="280" t="s">
        <v>3474</v>
      </c>
      <c r="R15" s="17" t="s">
        <v>1906</v>
      </c>
    </row>
    <row r="16" spans="1:18" ht="12.75">
      <c r="A16" s="82" t="s">
        <v>2209</v>
      </c>
      <c r="B16" s="399" t="s">
        <v>2614</v>
      </c>
      <c r="C16" s="92" t="s">
        <v>3837</v>
      </c>
      <c r="D16" s="18" t="s">
        <v>2356</v>
      </c>
      <c r="E16" s="79" t="s">
        <v>324</v>
      </c>
      <c r="F16" s="18" t="s">
        <v>125</v>
      </c>
      <c r="G16" s="79" t="s">
        <v>682</v>
      </c>
      <c r="H16" s="313" t="s">
        <v>884</v>
      </c>
      <c r="I16" s="307" t="s">
        <v>341</v>
      </c>
      <c r="J16" s="362" t="s">
        <v>847</v>
      </c>
      <c r="K16" s="82" t="s">
        <v>341</v>
      </c>
      <c r="L16" s="38" t="s">
        <v>2731</v>
      </c>
      <c r="M16" s="104" t="s">
        <v>127</v>
      </c>
      <c r="N16" s="258" t="s">
        <v>3351</v>
      </c>
      <c r="O16" s="82" t="s">
        <v>2731</v>
      </c>
      <c r="P16" s="38" t="s">
        <v>2708</v>
      </c>
      <c r="Q16" s="104" t="s">
        <v>3475</v>
      </c>
      <c r="R16" s="18" t="s">
        <v>1906</v>
      </c>
    </row>
    <row r="17" spans="1:18" ht="12.75">
      <c r="A17" s="82" t="s">
        <v>2210</v>
      </c>
      <c r="B17" s="399" t="s">
        <v>2215</v>
      </c>
      <c r="C17" s="94" t="s">
        <v>3838</v>
      </c>
      <c r="D17" s="19" t="s">
        <v>3476</v>
      </c>
      <c r="E17" s="98" t="s">
        <v>3477</v>
      </c>
      <c r="F17" s="19" t="s">
        <v>125</v>
      </c>
      <c r="G17" s="98" t="s">
        <v>2419</v>
      </c>
      <c r="H17" s="314" t="s">
        <v>319</v>
      </c>
      <c r="I17" s="310" t="s">
        <v>341</v>
      </c>
      <c r="J17" s="352" t="s">
        <v>1043</v>
      </c>
      <c r="K17" s="100" t="s">
        <v>341</v>
      </c>
      <c r="L17" s="41" t="s">
        <v>3478</v>
      </c>
      <c r="M17" s="281" t="s">
        <v>127</v>
      </c>
      <c r="N17" s="265" t="s">
        <v>2610</v>
      </c>
      <c r="O17" s="100" t="s">
        <v>3478</v>
      </c>
      <c r="P17" s="41" t="s">
        <v>2938</v>
      </c>
      <c r="Q17" s="281" t="s">
        <v>3479</v>
      </c>
      <c r="R17" s="19" t="s">
        <v>1906</v>
      </c>
    </row>
    <row r="18" spans="1:18" ht="12.75">
      <c r="A18" s="82"/>
      <c r="B18" s="399"/>
      <c r="C18" s="15"/>
      <c r="D18" s="15"/>
      <c r="E18" s="15"/>
      <c r="F18" s="15"/>
      <c r="G18" s="15"/>
      <c r="H18" s="49"/>
      <c r="I18" s="49"/>
      <c r="J18" s="348"/>
      <c r="K18" s="50"/>
      <c r="L18" s="50"/>
      <c r="M18" s="49"/>
      <c r="N18" s="49"/>
      <c r="O18" s="50"/>
      <c r="P18" s="50"/>
      <c r="Q18" s="49"/>
      <c r="R18" s="15"/>
    </row>
    <row r="19" spans="1:17" ht="15.75">
      <c r="A19" s="282"/>
      <c r="B19" s="432"/>
      <c r="C19" s="526" t="s">
        <v>3480</v>
      </c>
      <c r="D19" s="526"/>
      <c r="E19" s="526"/>
      <c r="F19" s="526"/>
      <c r="G19" s="526"/>
      <c r="H19" s="526"/>
      <c r="I19" s="526"/>
      <c r="J19" s="526"/>
      <c r="K19" s="526"/>
      <c r="L19" s="526"/>
      <c r="M19" s="526"/>
      <c r="N19" s="526"/>
      <c r="O19" s="50"/>
      <c r="P19" s="29"/>
      <c r="Q19" s="229"/>
    </row>
    <row r="20" spans="1:18" ht="12.75">
      <c r="A20" s="82" t="s">
        <v>2208</v>
      </c>
      <c r="B20" s="399" t="s">
        <v>3489</v>
      </c>
      <c r="C20" s="83" t="s">
        <v>3839</v>
      </c>
      <c r="D20" s="17" t="s">
        <v>2503</v>
      </c>
      <c r="E20" s="84" t="s">
        <v>3481</v>
      </c>
      <c r="F20" s="17" t="s">
        <v>2104</v>
      </c>
      <c r="G20" s="84" t="s">
        <v>143</v>
      </c>
      <c r="H20" s="312" t="s">
        <v>834</v>
      </c>
      <c r="I20" s="309" t="s">
        <v>835</v>
      </c>
      <c r="J20" s="312" t="s">
        <v>836</v>
      </c>
      <c r="K20" s="87" t="s">
        <v>836</v>
      </c>
      <c r="L20" s="35" t="s">
        <v>3391</v>
      </c>
      <c r="M20" s="280" t="s">
        <v>3482</v>
      </c>
      <c r="N20" s="264" t="s">
        <v>2718</v>
      </c>
      <c r="O20" s="87" t="s">
        <v>3391</v>
      </c>
      <c r="P20" s="35" t="s">
        <v>3392</v>
      </c>
      <c r="Q20" s="280" t="s">
        <v>3483</v>
      </c>
      <c r="R20" s="17" t="s">
        <v>1906</v>
      </c>
    </row>
    <row r="21" spans="1:18" ht="12.75">
      <c r="A21" s="82" t="s">
        <v>2209</v>
      </c>
      <c r="B21" s="399" t="s">
        <v>3493</v>
      </c>
      <c r="C21" s="94" t="s">
        <v>3840</v>
      </c>
      <c r="D21" s="19" t="s">
        <v>3449</v>
      </c>
      <c r="E21" s="98" t="s">
        <v>3450</v>
      </c>
      <c r="F21" s="19" t="s">
        <v>125</v>
      </c>
      <c r="G21" s="98" t="s">
        <v>1410</v>
      </c>
      <c r="H21" s="352" t="s">
        <v>992</v>
      </c>
      <c r="I21" s="310" t="s">
        <v>992</v>
      </c>
      <c r="J21" s="352" t="s">
        <v>913</v>
      </c>
      <c r="K21" s="100" t="s">
        <v>992</v>
      </c>
      <c r="L21" s="41" t="s">
        <v>2731</v>
      </c>
      <c r="M21" s="281" t="s">
        <v>3482</v>
      </c>
      <c r="N21" s="265" t="s">
        <v>2689</v>
      </c>
      <c r="O21" s="100" t="s">
        <v>2731</v>
      </c>
      <c r="P21" s="41" t="s">
        <v>2708</v>
      </c>
      <c r="Q21" s="281" t="s">
        <v>3484</v>
      </c>
      <c r="R21" s="19" t="s">
        <v>1906</v>
      </c>
    </row>
    <row r="22" spans="1:18" ht="12.75">
      <c r="A22" s="82"/>
      <c r="B22" s="399"/>
      <c r="C22" s="15"/>
      <c r="D22" s="15"/>
      <c r="E22" s="15"/>
      <c r="F22" s="15"/>
      <c r="G22" s="15"/>
      <c r="H22" s="348"/>
      <c r="I22" s="49"/>
      <c r="J22" s="348"/>
      <c r="K22" s="50"/>
      <c r="L22" s="50"/>
      <c r="M22" s="49"/>
      <c r="N22" s="49"/>
      <c r="O22" s="50"/>
      <c r="P22" s="50"/>
      <c r="Q22" s="49"/>
      <c r="R22" s="15"/>
    </row>
    <row r="23" spans="1:17" ht="15.75">
      <c r="A23" s="282"/>
      <c r="B23" s="432"/>
      <c r="C23" s="508" t="s">
        <v>3381</v>
      </c>
      <c r="D23" s="508"/>
      <c r="E23" s="508"/>
      <c r="F23" s="508"/>
      <c r="G23" s="508"/>
      <c r="H23" s="508"/>
      <c r="I23" s="508"/>
      <c r="J23" s="508"/>
      <c r="K23" s="508"/>
      <c r="L23" s="508"/>
      <c r="M23" s="508"/>
      <c r="N23" s="508"/>
      <c r="O23" s="50"/>
      <c r="P23" s="29"/>
      <c r="Q23" s="229"/>
    </row>
    <row r="24" spans="1:18" ht="12.75">
      <c r="A24" s="82" t="s">
        <v>2208</v>
      </c>
      <c r="B24" s="399" t="s">
        <v>3489</v>
      </c>
      <c r="C24" s="20" t="s">
        <v>3841</v>
      </c>
      <c r="D24" s="210" t="s">
        <v>863</v>
      </c>
      <c r="E24" s="210" t="s">
        <v>864</v>
      </c>
      <c r="F24" s="210" t="s">
        <v>125</v>
      </c>
      <c r="G24" s="210" t="s">
        <v>1643</v>
      </c>
      <c r="H24" s="344" t="s">
        <v>869</v>
      </c>
      <c r="I24" s="306" t="s">
        <v>869</v>
      </c>
      <c r="J24" s="306" t="s">
        <v>836</v>
      </c>
      <c r="K24" s="200" t="s">
        <v>836</v>
      </c>
      <c r="L24" s="200" t="s">
        <v>3391</v>
      </c>
      <c r="M24" s="271" t="s">
        <v>3485</v>
      </c>
      <c r="N24" s="271" t="s">
        <v>2681</v>
      </c>
      <c r="O24" s="200" t="s">
        <v>3391</v>
      </c>
      <c r="P24" s="200" t="s">
        <v>3392</v>
      </c>
      <c r="Q24" s="271" t="s">
        <v>3486</v>
      </c>
      <c r="R24" s="210" t="s">
        <v>1906</v>
      </c>
    </row>
    <row r="25" spans="1:17" ht="12.75">
      <c r="A25" s="82"/>
      <c r="B25" s="399"/>
      <c r="C25" s="15"/>
      <c r="D25" s="15"/>
      <c r="E25" s="15"/>
      <c r="F25" s="15"/>
      <c r="G25" s="15"/>
      <c r="H25" s="49"/>
      <c r="I25" s="49"/>
      <c r="J25" s="49"/>
      <c r="K25" s="50"/>
      <c r="L25" s="50"/>
      <c r="M25" s="49"/>
      <c r="N25" s="49"/>
      <c r="O25" s="50"/>
      <c r="P25" s="29"/>
      <c r="Q25" s="229"/>
    </row>
    <row r="26" spans="1:17" ht="18">
      <c r="A26" s="50"/>
      <c r="B26" s="402"/>
      <c r="C26" s="343" t="s">
        <v>370</v>
      </c>
      <c r="D26" s="16"/>
      <c r="E26" s="15"/>
      <c r="F26" s="15"/>
      <c r="G26" s="15"/>
      <c r="H26" s="49"/>
      <c r="I26" s="49"/>
      <c r="J26" s="49"/>
      <c r="K26" s="50"/>
      <c r="L26" s="50"/>
      <c r="M26" s="49"/>
      <c r="N26" s="49"/>
      <c r="O26" s="50"/>
      <c r="P26" s="29"/>
      <c r="Q26" s="229"/>
    </row>
    <row r="27" spans="1:17" ht="15.75">
      <c r="A27" s="50"/>
      <c r="B27" s="402"/>
      <c r="C27" s="22" t="s">
        <v>387</v>
      </c>
      <c r="D27" s="22"/>
      <c r="E27" s="15"/>
      <c r="F27" s="15"/>
      <c r="G27" s="15"/>
      <c r="H27" s="49"/>
      <c r="I27" s="49"/>
      <c r="J27" s="49"/>
      <c r="K27" s="50"/>
      <c r="L27" s="50"/>
      <c r="M27" s="49"/>
      <c r="N27" s="49"/>
      <c r="O27" s="50"/>
      <c r="P27" s="29"/>
      <c r="Q27" s="229"/>
    </row>
    <row r="28" spans="1:17" ht="13.5">
      <c r="A28" s="50"/>
      <c r="B28" s="402"/>
      <c r="C28" s="24"/>
      <c r="D28" s="25" t="s">
        <v>2102</v>
      </c>
      <c r="E28" s="15"/>
      <c r="F28" s="15"/>
      <c r="G28" s="15"/>
      <c r="H28" s="49"/>
      <c r="I28" s="49"/>
      <c r="J28" s="49"/>
      <c r="K28" s="50"/>
      <c r="L28" s="50"/>
      <c r="M28" s="49"/>
      <c r="N28" s="49"/>
      <c r="O28" s="50"/>
      <c r="P28" s="29"/>
      <c r="Q28" s="229"/>
    </row>
    <row r="29" spans="1:17" ht="13.5">
      <c r="A29" s="50"/>
      <c r="B29" s="402"/>
      <c r="C29" s="26" t="s">
        <v>373</v>
      </c>
      <c r="D29" s="181" t="s">
        <v>374</v>
      </c>
      <c r="E29" s="181" t="s">
        <v>3286</v>
      </c>
      <c r="F29" s="181" t="s">
        <v>377</v>
      </c>
      <c r="G29" s="15"/>
      <c r="H29" s="49"/>
      <c r="I29" s="49"/>
      <c r="J29" s="49"/>
      <c r="K29" s="50"/>
      <c r="L29" s="50"/>
      <c r="M29" s="49"/>
      <c r="N29" s="49"/>
      <c r="O29" s="29"/>
      <c r="P29" s="29"/>
      <c r="Q29" s="229"/>
    </row>
    <row r="30" spans="1:17" ht="12.75">
      <c r="A30" s="50" t="s">
        <v>2208</v>
      </c>
      <c r="B30" s="402"/>
      <c r="C30" s="15" t="s">
        <v>3434</v>
      </c>
      <c r="D30" s="49" t="s">
        <v>3189</v>
      </c>
      <c r="E30" s="49" t="s">
        <v>3436</v>
      </c>
      <c r="F30" s="280" t="s">
        <v>4084</v>
      </c>
      <c r="G30" s="15"/>
      <c r="H30" s="49"/>
      <c r="I30" s="49"/>
      <c r="J30" s="49"/>
      <c r="K30" s="50"/>
      <c r="L30" s="50"/>
      <c r="M30" s="49"/>
      <c r="N30" s="49"/>
      <c r="O30" s="29"/>
      <c r="P30" s="29"/>
      <c r="Q30" s="229"/>
    </row>
    <row r="31" spans="1:17" ht="12.75">
      <c r="A31" s="50" t="s">
        <v>2209</v>
      </c>
      <c r="B31" s="402"/>
      <c r="C31" s="15" t="s">
        <v>2502</v>
      </c>
      <c r="D31" s="49" t="s">
        <v>3189</v>
      </c>
      <c r="E31" s="49" t="s">
        <v>3481</v>
      </c>
      <c r="F31" s="49" t="s">
        <v>3483</v>
      </c>
      <c r="G31" s="15"/>
      <c r="H31" s="49"/>
      <c r="I31" s="49"/>
      <c r="J31" s="49"/>
      <c r="K31" s="50"/>
      <c r="L31" s="50"/>
      <c r="M31" s="49"/>
      <c r="N31" s="49"/>
      <c r="O31" s="29"/>
      <c r="P31" s="29"/>
      <c r="Q31" s="229"/>
    </row>
    <row r="32" spans="1:17" ht="12.75">
      <c r="A32" s="50" t="s">
        <v>2210</v>
      </c>
      <c r="B32" s="402"/>
      <c r="C32" s="15" t="s">
        <v>862</v>
      </c>
      <c r="D32" s="49" t="s">
        <v>3189</v>
      </c>
      <c r="E32" s="49" t="s">
        <v>864</v>
      </c>
      <c r="F32" s="49" t="s">
        <v>3486</v>
      </c>
      <c r="G32" s="15"/>
      <c r="H32" s="49"/>
      <c r="I32" s="49"/>
      <c r="J32" s="49"/>
      <c r="K32" s="50"/>
      <c r="L32" s="50"/>
      <c r="M32" s="49"/>
      <c r="N32" s="49"/>
      <c r="O32" s="29"/>
      <c r="P32" s="29"/>
      <c r="Q32" s="229"/>
    </row>
    <row r="33" spans="1:17" ht="12.75">
      <c r="A33" s="50"/>
      <c r="B33" s="402"/>
      <c r="C33" s="15"/>
      <c r="D33" s="15"/>
      <c r="E33" s="15"/>
      <c r="F33" s="15"/>
      <c r="G33" s="15"/>
      <c r="H33" s="49"/>
      <c r="I33" s="49"/>
      <c r="J33" s="49"/>
      <c r="K33" s="50"/>
      <c r="L33" s="50"/>
      <c r="M33" s="49"/>
      <c r="N33" s="49"/>
      <c r="O33" s="50"/>
      <c r="P33" s="29"/>
      <c r="Q33" s="229"/>
    </row>
    <row r="34" spans="1:17" ht="12.75">
      <c r="A34" s="50"/>
      <c r="B34" s="402"/>
      <c r="C34" s="15"/>
      <c r="D34" s="15"/>
      <c r="E34" s="15"/>
      <c r="F34" s="15"/>
      <c r="G34" s="15"/>
      <c r="H34" s="49"/>
      <c r="I34" s="49"/>
      <c r="J34" s="49"/>
      <c r="K34" s="50"/>
      <c r="L34" s="50"/>
      <c r="M34" s="49"/>
      <c r="N34" s="49"/>
      <c r="O34" s="50"/>
      <c r="P34" s="29"/>
      <c r="Q34" s="229"/>
    </row>
    <row r="35" spans="1:17" ht="12.75">
      <c r="A35" s="50"/>
      <c r="B35" s="402"/>
      <c r="C35" s="15"/>
      <c r="D35" s="15"/>
      <c r="E35" s="15"/>
      <c r="F35" s="15"/>
      <c r="G35" s="15"/>
      <c r="H35" s="49"/>
      <c r="I35" s="49"/>
      <c r="J35" s="49"/>
      <c r="K35" s="50"/>
      <c r="L35" s="50"/>
      <c r="M35" s="49"/>
      <c r="N35" s="49"/>
      <c r="O35" s="50"/>
      <c r="P35" s="29"/>
      <c r="Q35" s="229"/>
    </row>
    <row r="36" spans="1:17" ht="12.75">
      <c r="A36" s="50"/>
      <c r="B36" s="402"/>
      <c r="C36" s="15"/>
      <c r="D36" s="15"/>
      <c r="E36" s="15"/>
      <c r="F36" s="15"/>
      <c r="G36" s="15"/>
      <c r="H36" s="49"/>
      <c r="I36" s="49"/>
      <c r="J36" s="49"/>
      <c r="K36" s="50"/>
      <c r="L36" s="50"/>
      <c r="M36" s="49"/>
      <c r="N36" s="49"/>
      <c r="O36" s="50"/>
      <c r="P36" s="29"/>
      <c r="Q36" s="229"/>
    </row>
    <row r="37" spans="1:17" ht="12.75">
      <c r="A37" s="50"/>
      <c r="B37" s="402"/>
      <c r="C37" s="15"/>
      <c r="D37" s="15"/>
      <c r="E37" s="15"/>
      <c r="F37" s="15"/>
      <c r="G37" s="15"/>
      <c r="H37" s="49"/>
      <c r="I37" s="49"/>
      <c r="J37" s="49"/>
      <c r="K37" s="50"/>
      <c r="L37" s="50"/>
      <c r="M37" s="49"/>
      <c r="N37" s="49"/>
      <c r="O37" s="50"/>
      <c r="P37" s="29"/>
      <c r="Q37" s="229"/>
    </row>
    <row r="38" spans="1:17" ht="12.75">
      <c r="A38" s="50"/>
      <c r="B38" s="402"/>
      <c r="C38" s="15"/>
      <c r="D38" s="15"/>
      <c r="E38" s="15"/>
      <c r="F38" s="15"/>
      <c r="G38" s="15"/>
      <c r="H38" s="49"/>
      <c r="I38" s="49"/>
      <c r="J38" s="49"/>
      <c r="K38" s="50"/>
      <c r="L38" s="50"/>
      <c r="M38" s="49"/>
      <c r="N38" s="49"/>
      <c r="O38" s="50"/>
      <c r="P38" s="29"/>
      <c r="Q38" s="229"/>
    </row>
    <row r="39" spans="1:17" ht="12.75">
      <c r="A39" s="50"/>
      <c r="B39" s="402"/>
      <c r="C39" s="15"/>
      <c r="D39" s="15"/>
      <c r="E39" s="15"/>
      <c r="F39" s="15"/>
      <c r="G39" s="15"/>
      <c r="H39" s="49"/>
      <c r="I39" s="49"/>
      <c r="J39" s="49"/>
      <c r="K39" s="50"/>
      <c r="L39" s="50"/>
      <c r="M39" s="49"/>
      <c r="N39" s="49"/>
      <c r="O39" s="50"/>
      <c r="P39" s="29"/>
      <c r="Q39" s="229"/>
    </row>
    <row r="40" spans="1:17" ht="12.75">
      <c r="A40" s="50"/>
      <c r="B40" s="402"/>
      <c r="C40" s="15"/>
      <c r="D40" s="15"/>
      <c r="E40" s="15"/>
      <c r="F40" s="15"/>
      <c r="G40" s="15"/>
      <c r="H40" s="49"/>
      <c r="I40" s="49"/>
      <c r="J40" s="49"/>
      <c r="K40" s="50"/>
      <c r="L40" s="50"/>
      <c r="M40" s="49"/>
      <c r="N40" s="49"/>
      <c r="O40" s="50"/>
      <c r="P40" s="29"/>
      <c r="Q40" s="229"/>
    </row>
    <row r="41" spans="1:17" ht="12.75">
      <c r="A41" s="50"/>
      <c r="B41" s="402"/>
      <c r="C41" s="15"/>
      <c r="D41" s="15"/>
      <c r="E41" s="15"/>
      <c r="F41" s="15"/>
      <c r="G41" s="15"/>
      <c r="H41" s="49"/>
      <c r="I41" s="49"/>
      <c r="J41" s="49"/>
      <c r="K41" s="50"/>
      <c r="L41" s="50"/>
      <c r="M41" s="49"/>
      <c r="N41" s="49"/>
      <c r="O41" s="50"/>
      <c r="P41" s="29"/>
      <c r="Q41" s="229"/>
    </row>
    <row r="42" spans="1:17" ht="12.75">
      <c r="A42" s="50"/>
      <c r="B42" s="402"/>
      <c r="C42" s="15"/>
      <c r="D42" s="15"/>
      <c r="E42" s="15"/>
      <c r="F42" s="15"/>
      <c r="G42" s="15"/>
      <c r="H42" s="49"/>
      <c r="I42" s="49"/>
      <c r="J42" s="49"/>
      <c r="K42" s="50"/>
      <c r="L42" s="50"/>
      <c r="M42" s="49"/>
      <c r="N42" s="49"/>
      <c r="O42" s="50"/>
      <c r="P42" s="29"/>
      <c r="Q42" s="229"/>
    </row>
  </sheetData>
  <sheetProtection/>
  <mergeCells count="21">
    <mergeCell ref="A3:A4"/>
    <mergeCell ref="C3:C4"/>
    <mergeCell ref="E3:E4"/>
    <mergeCell ref="F3:F4"/>
    <mergeCell ref="G3:G4"/>
    <mergeCell ref="H3:J3"/>
    <mergeCell ref="B3:B4"/>
    <mergeCell ref="P3:P4"/>
    <mergeCell ref="Q3:Q4"/>
    <mergeCell ref="R3:R4"/>
    <mergeCell ref="C6:N6"/>
    <mergeCell ref="C1:O1"/>
    <mergeCell ref="C2:O2"/>
    <mergeCell ref="K3:K4"/>
    <mergeCell ref="L3:L4"/>
    <mergeCell ref="C10:N10"/>
    <mergeCell ref="C14:N14"/>
    <mergeCell ref="C19:N19"/>
    <mergeCell ref="C23:N23"/>
    <mergeCell ref="M3:N3"/>
    <mergeCell ref="O3:O4"/>
  </mergeCells>
  <printOptions/>
  <pageMargins left="0.75" right="0.75" top="1" bottom="1" header="0.5" footer="0.5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B4">
      <selection activeCell="H45" sqref="H45"/>
    </sheetView>
  </sheetViews>
  <sheetFormatPr defaultColWidth="11.375" defaultRowHeight="12.75"/>
  <cols>
    <col min="1" max="1" width="7.75390625" style="29" customWidth="1"/>
    <col min="2" max="2" width="10.875" style="410" customWidth="1"/>
    <col min="3" max="3" width="28.875" style="0" customWidth="1"/>
    <col min="4" max="4" width="27.25390625" style="0" customWidth="1"/>
    <col min="5" max="5" width="20.125" style="0" customWidth="1"/>
    <col min="6" max="6" width="11.75390625" style="0" customWidth="1"/>
    <col min="7" max="7" width="30.75390625" style="0" customWidth="1"/>
    <col min="8" max="8" width="9.125" style="0" customWidth="1"/>
    <col min="9" max="9" width="13.00390625" style="0" customWidth="1"/>
    <col min="10" max="11" width="11.375" style="0" customWidth="1"/>
    <col min="12" max="12" width="22.625" style="0" customWidth="1"/>
  </cols>
  <sheetData>
    <row r="1" spans="1:12" ht="57.75" customHeight="1">
      <c r="A1" s="82"/>
      <c r="B1" s="399"/>
      <c r="C1" s="509" t="s">
        <v>3324</v>
      </c>
      <c r="D1" s="509"/>
      <c r="E1" s="509"/>
      <c r="F1" s="509"/>
      <c r="G1" s="509"/>
      <c r="H1" s="509"/>
      <c r="I1" s="509"/>
      <c r="J1" s="509"/>
      <c r="K1" s="509"/>
      <c r="L1" s="509"/>
    </row>
    <row r="2" spans="1:12" ht="30" thickBot="1">
      <c r="A2" s="82"/>
      <c r="B2" s="399"/>
      <c r="C2" s="509" t="s">
        <v>3283</v>
      </c>
      <c r="D2" s="509"/>
      <c r="E2" s="509"/>
      <c r="F2" s="509"/>
      <c r="G2" s="509"/>
      <c r="H2" s="509"/>
      <c r="I2" s="509"/>
      <c r="J2" s="509"/>
      <c r="K2" s="509"/>
      <c r="L2" s="509"/>
    </row>
    <row r="3" spans="1:12" ht="13.5">
      <c r="A3" s="512" t="s">
        <v>1627</v>
      </c>
      <c r="B3" s="516" t="s">
        <v>4516</v>
      </c>
      <c r="C3" s="514" t="s">
        <v>0</v>
      </c>
      <c r="D3" s="454" t="s">
        <v>3284</v>
      </c>
      <c r="E3" s="514" t="s">
        <v>3286</v>
      </c>
      <c r="F3" s="514" t="s">
        <v>7</v>
      </c>
      <c r="G3" s="514" t="s">
        <v>3287</v>
      </c>
      <c r="H3" s="514" t="s">
        <v>3288</v>
      </c>
      <c r="I3" s="514"/>
      <c r="J3" s="514" t="s">
        <v>2603</v>
      </c>
      <c r="K3" s="514" t="s">
        <v>6</v>
      </c>
      <c r="L3" s="510" t="s">
        <v>5</v>
      </c>
    </row>
    <row r="4" spans="1:12" ht="15" thickBot="1">
      <c r="A4" s="513"/>
      <c r="B4" s="517"/>
      <c r="C4" s="515"/>
      <c r="D4" s="455" t="s">
        <v>3285</v>
      </c>
      <c r="E4" s="515"/>
      <c r="F4" s="515"/>
      <c r="G4" s="515"/>
      <c r="H4" s="457" t="s">
        <v>2604</v>
      </c>
      <c r="I4" s="457" t="s">
        <v>3289</v>
      </c>
      <c r="J4" s="515"/>
      <c r="K4" s="515"/>
      <c r="L4" s="511"/>
    </row>
    <row r="5" spans="1:12" ht="13.5">
      <c r="A5" s="184"/>
      <c r="B5" s="302"/>
      <c r="C5" s="184"/>
      <c r="D5" s="184"/>
      <c r="E5" s="184"/>
      <c r="F5" s="184"/>
      <c r="G5" s="184"/>
      <c r="H5" s="270"/>
      <c r="I5" s="270"/>
      <c r="J5" s="184"/>
      <c r="K5" s="184"/>
      <c r="L5" s="184"/>
    </row>
    <row r="6" spans="3:12" ht="15.75">
      <c r="C6" s="526" t="s">
        <v>3325</v>
      </c>
      <c r="D6" s="526"/>
      <c r="E6" s="526"/>
      <c r="F6" s="526"/>
      <c r="G6" s="526"/>
      <c r="H6" s="526"/>
      <c r="I6" s="526"/>
      <c r="J6" s="526"/>
      <c r="K6" s="526"/>
      <c r="L6" s="15"/>
    </row>
    <row r="7" spans="1:12" ht="12.75">
      <c r="A7" s="82" t="s">
        <v>2208</v>
      </c>
      <c r="B7" s="399" t="s">
        <v>3526</v>
      </c>
      <c r="C7" s="288" t="s">
        <v>619</v>
      </c>
      <c r="D7" s="288" t="s">
        <v>3332</v>
      </c>
      <c r="E7" s="482" t="s">
        <v>580</v>
      </c>
      <c r="F7" s="83" t="s">
        <v>125</v>
      </c>
      <c r="G7" s="288" t="s">
        <v>621</v>
      </c>
      <c r="H7" s="264" t="s">
        <v>3328</v>
      </c>
      <c r="I7" s="291" t="s">
        <v>2726</v>
      </c>
      <c r="J7" s="264" t="s">
        <v>3333</v>
      </c>
      <c r="K7" s="280" t="s">
        <v>4711</v>
      </c>
      <c r="L7" s="17" t="s">
        <v>1699</v>
      </c>
    </row>
    <row r="8" spans="1:12" ht="12.75">
      <c r="A8" s="82" t="s">
        <v>2208</v>
      </c>
      <c r="B8" s="399" t="s">
        <v>3526</v>
      </c>
      <c r="C8" s="292" t="s">
        <v>619</v>
      </c>
      <c r="D8" s="292" t="s">
        <v>3339</v>
      </c>
      <c r="E8" s="483" t="s">
        <v>580</v>
      </c>
      <c r="F8" s="92" t="s">
        <v>125</v>
      </c>
      <c r="G8" s="292" t="s">
        <v>621</v>
      </c>
      <c r="H8" s="258" t="s">
        <v>3328</v>
      </c>
      <c r="I8" s="286" t="s">
        <v>2726</v>
      </c>
      <c r="J8" s="258" t="s">
        <v>3333</v>
      </c>
      <c r="K8" s="104" t="s">
        <v>4711</v>
      </c>
      <c r="L8" s="18" t="s">
        <v>1699</v>
      </c>
    </row>
    <row r="9" spans="1:12" ht="12.75">
      <c r="A9" s="82" t="s">
        <v>2209</v>
      </c>
      <c r="B9" s="399" t="s">
        <v>3493</v>
      </c>
      <c r="C9" s="293" t="s">
        <v>3326</v>
      </c>
      <c r="D9" s="293" t="s">
        <v>3373</v>
      </c>
      <c r="E9" s="484" t="s">
        <v>3327</v>
      </c>
      <c r="F9" s="94" t="s">
        <v>125</v>
      </c>
      <c r="G9" s="293" t="s">
        <v>1643</v>
      </c>
      <c r="H9" s="265" t="s">
        <v>3328</v>
      </c>
      <c r="I9" s="296" t="s">
        <v>2614</v>
      </c>
      <c r="J9" s="265" t="s">
        <v>3329</v>
      </c>
      <c r="K9" s="281" t="s">
        <v>3330</v>
      </c>
      <c r="L9" s="19" t="s">
        <v>1906</v>
      </c>
    </row>
    <row r="10" spans="1:12" ht="12.75">
      <c r="A10" s="82"/>
      <c r="B10" s="399"/>
      <c r="C10" s="15"/>
      <c r="D10" s="49"/>
      <c r="E10" s="15"/>
      <c r="F10" s="15"/>
      <c r="G10" s="49"/>
      <c r="H10" s="49"/>
      <c r="I10" s="49"/>
      <c r="J10" s="49"/>
      <c r="K10" s="15"/>
      <c r="L10" s="15"/>
    </row>
    <row r="11" spans="1:12" ht="15.75">
      <c r="A11" s="97"/>
      <c r="B11" s="434"/>
      <c r="C11" s="526" t="s">
        <v>3331</v>
      </c>
      <c r="D11" s="526"/>
      <c r="E11" s="526"/>
      <c r="F11" s="526"/>
      <c r="G11" s="526"/>
      <c r="H11" s="526"/>
      <c r="I11" s="526"/>
      <c r="J11" s="526"/>
      <c r="K11" s="526"/>
      <c r="L11" s="15"/>
    </row>
    <row r="12" spans="1:12" ht="12.75">
      <c r="A12" s="82" t="s">
        <v>2208</v>
      </c>
      <c r="B12" s="399" t="s">
        <v>3526</v>
      </c>
      <c r="C12" s="283" t="s">
        <v>3334</v>
      </c>
      <c r="D12" s="283" t="s">
        <v>3374</v>
      </c>
      <c r="E12" s="474" t="s">
        <v>3335</v>
      </c>
      <c r="F12" s="20" t="s">
        <v>125</v>
      </c>
      <c r="G12" s="283" t="s">
        <v>3336</v>
      </c>
      <c r="H12" s="379" t="s">
        <v>3328</v>
      </c>
      <c r="I12" s="475" t="s">
        <v>3337</v>
      </c>
      <c r="J12" s="379" t="s">
        <v>3338</v>
      </c>
      <c r="K12" s="476" t="s">
        <v>3368</v>
      </c>
      <c r="L12" s="20" t="s">
        <v>1906</v>
      </c>
    </row>
    <row r="13" spans="1:12" ht="12.75">
      <c r="A13" s="82"/>
      <c r="B13" s="399"/>
      <c r="C13" s="15"/>
      <c r="D13" s="49"/>
      <c r="E13" s="15"/>
      <c r="F13" s="15"/>
      <c r="G13" s="49"/>
      <c r="H13" s="49"/>
      <c r="I13" s="49"/>
      <c r="J13" s="49"/>
      <c r="K13" s="15"/>
      <c r="L13" s="15"/>
    </row>
    <row r="14" spans="1:12" ht="15.75">
      <c r="A14" s="97"/>
      <c r="B14" s="434"/>
      <c r="C14" s="508" t="s">
        <v>3341</v>
      </c>
      <c r="D14" s="508"/>
      <c r="E14" s="508"/>
      <c r="F14" s="508"/>
      <c r="G14" s="508"/>
      <c r="H14" s="508"/>
      <c r="I14" s="508"/>
      <c r="J14" s="508"/>
      <c r="K14" s="508"/>
      <c r="L14" s="15"/>
    </row>
    <row r="15" spans="1:12" ht="12.75">
      <c r="A15" s="82" t="s">
        <v>2208</v>
      </c>
      <c r="B15" s="399" t="s">
        <v>3526</v>
      </c>
      <c r="C15" s="20" t="s">
        <v>3342</v>
      </c>
      <c r="D15" s="210" t="s">
        <v>3372</v>
      </c>
      <c r="E15" s="271" t="s">
        <v>3343</v>
      </c>
      <c r="F15" s="210" t="s">
        <v>125</v>
      </c>
      <c r="G15" s="210" t="s">
        <v>1643</v>
      </c>
      <c r="H15" s="271" t="s">
        <v>3328</v>
      </c>
      <c r="I15" s="271" t="s">
        <v>3344</v>
      </c>
      <c r="J15" s="271" t="s">
        <v>3345</v>
      </c>
      <c r="K15" s="271" t="s">
        <v>3346</v>
      </c>
      <c r="L15" s="20" t="s">
        <v>1906</v>
      </c>
    </row>
    <row r="16" spans="1:12" ht="12.75">
      <c r="A16" s="82"/>
      <c r="B16" s="399"/>
      <c r="C16" s="15"/>
      <c r="D16" s="15"/>
      <c r="E16" s="49"/>
      <c r="F16" s="15"/>
      <c r="G16" s="15"/>
      <c r="H16" s="15"/>
      <c r="I16" s="15"/>
      <c r="J16" s="15"/>
      <c r="K16" s="15"/>
      <c r="L16" s="15"/>
    </row>
    <row r="17" spans="1:12" ht="15.75">
      <c r="A17" s="97"/>
      <c r="B17" s="434"/>
      <c r="C17" s="526" t="s">
        <v>2977</v>
      </c>
      <c r="D17" s="526"/>
      <c r="E17" s="526"/>
      <c r="F17" s="526"/>
      <c r="G17" s="526"/>
      <c r="H17" s="526"/>
      <c r="I17" s="526"/>
      <c r="J17" s="526"/>
      <c r="K17" s="526"/>
      <c r="L17" s="15"/>
    </row>
    <row r="18" spans="1:12" ht="12.75">
      <c r="A18" s="82" t="s">
        <v>2208</v>
      </c>
      <c r="B18" s="399" t="s">
        <v>3526</v>
      </c>
      <c r="C18" s="297" t="s">
        <v>619</v>
      </c>
      <c r="D18" s="297" t="s">
        <v>3332</v>
      </c>
      <c r="E18" s="333" t="s">
        <v>580</v>
      </c>
      <c r="F18" s="83" t="s">
        <v>125</v>
      </c>
      <c r="G18" s="297" t="s">
        <v>621</v>
      </c>
      <c r="H18" s="189" t="s">
        <v>2129</v>
      </c>
      <c r="I18" s="477" t="s">
        <v>2213</v>
      </c>
      <c r="J18" s="264" t="s">
        <v>3340</v>
      </c>
      <c r="K18" s="415" t="s">
        <v>4712</v>
      </c>
      <c r="L18" s="17" t="s">
        <v>1699</v>
      </c>
    </row>
    <row r="19" spans="1:12" ht="12.75">
      <c r="A19" s="82" t="s">
        <v>2208</v>
      </c>
      <c r="B19" s="399" t="s">
        <v>3526</v>
      </c>
      <c r="C19" s="299" t="s">
        <v>619</v>
      </c>
      <c r="D19" s="299" t="s">
        <v>3339</v>
      </c>
      <c r="E19" s="322" t="s">
        <v>580</v>
      </c>
      <c r="F19" s="94" t="s">
        <v>125</v>
      </c>
      <c r="G19" s="299" t="s">
        <v>621</v>
      </c>
      <c r="H19" s="196" t="s">
        <v>2129</v>
      </c>
      <c r="I19" s="478" t="s">
        <v>2213</v>
      </c>
      <c r="J19" s="265" t="s">
        <v>3340</v>
      </c>
      <c r="K19" s="424" t="s">
        <v>4713</v>
      </c>
      <c r="L19" s="19" t="s">
        <v>1699</v>
      </c>
    </row>
    <row r="20" spans="1:12" ht="15.75">
      <c r="A20" s="97"/>
      <c r="B20" s="434"/>
      <c r="C20" s="526" t="s">
        <v>59</v>
      </c>
      <c r="D20" s="526"/>
      <c r="E20" s="526"/>
      <c r="F20" s="526"/>
      <c r="G20" s="526"/>
      <c r="H20" s="526"/>
      <c r="I20" s="526"/>
      <c r="J20" s="526"/>
      <c r="K20" s="526"/>
      <c r="L20" s="15"/>
    </row>
    <row r="21" spans="1:12" ht="12.75">
      <c r="A21" s="82" t="s">
        <v>2208</v>
      </c>
      <c r="B21" s="399" t="s">
        <v>3526</v>
      </c>
      <c r="C21" s="283" t="s">
        <v>3796</v>
      </c>
      <c r="D21" s="283" t="s">
        <v>3348</v>
      </c>
      <c r="E21" s="474" t="s">
        <v>3349</v>
      </c>
      <c r="F21" s="20" t="s">
        <v>125</v>
      </c>
      <c r="G21" s="283" t="s">
        <v>3350</v>
      </c>
      <c r="H21" s="379" t="s">
        <v>2129</v>
      </c>
      <c r="I21" s="475" t="s">
        <v>3351</v>
      </c>
      <c r="J21" s="379" t="s">
        <v>3352</v>
      </c>
      <c r="K21" s="476" t="s">
        <v>3369</v>
      </c>
      <c r="L21" s="20" t="s">
        <v>1906</v>
      </c>
    </row>
    <row r="22" spans="1:12" ht="12.75">
      <c r="A22" s="82"/>
      <c r="B22" s="399"/>
      <c r="C22" s="15"/>
      <c r="D22" s="15"/>
      <c r="E22" s="49"/>
      <c r="F22" s="15"/>
      <c r="G22" s="15"/>
      <c r="H22" s="15"/>
      <c r="I22" s="15"/>
      <c r="J22" s="15"/>
      <c r="K22" s="15"/>
      <c r="L22" s="15"/>
    </row>
    <row r="23" spans="1:12" ht="15.75">
      <c r="A23" s="97"/>
      <c r="B23" s="434"/>
      <c r="C23" s="508" t="s">
        <v>164</v>
      </c>
      <c r="D23" s="508"/>
      <c r="E23" s="508"/>
      <c r="F23" s="508"/>
      <c r="G23" s="508"/>
      <c r="H23" s="508"/>
      <c r="I23" s="508"/>
      <c r="J23" s="508"/>
      <c r="K23" s="508"/>
      <c r="L23" s="15"/>
    </row>
    <row r="24" spans="1:12" ht="12.75">
      <c r="A24" s="82" t="s">
        <v>2208</v>
      </c>
      <c r="B24" s="399" t="s">
        <v>3526</v>
      </c>
      <c r="C24" s="20" t="s">
        <v>3842</v>
      </c>
      <c r="D24" s="210" t="s">
        <v>3303</v>
      </c>
      <c r="E24" s="271" t="s">
        <v>216</v>
      </c>
      <c r="F24" s="210" t="s">
        <v>125</v>
      </c>
      <c r="G24" s="210" t="s">
        <v>815</v>
      </c>
      <c r="H24" s="271" t="s">
        <v>2129</v>
      </c>
      <c r="I24" s="271" t="s">
        <v>3353</v>
      </c>
      <c r="J24" s="271" t="s">
        <v>3345</v>
      </c>
      <c r="K24" s="271" t="s">
        <v>3346</v>
      </c>
      <c r="L24" s="210" t="s">
        <v>1906</v>
      </c>
    </row>
    <row r="25" spans="1:12" ht="12.75">
      <c r="A25" s="82"/>
      <c r="B25" s="399"/>
      <c r="C25" s="15"/>
      <c r="D25" s="15"/>
      <c r="E25" s="49"/>
      <c r="F25" s="15"/>
      <c r="G25" s="15"/>
      <c r="H25" s="15"/>
      <c r="I25" s="15"/>
      <c r="J25" s="15"/>
      <c r="K25" s="15"/>
      <c r="L25" s="15"/>
    </row>
    <row r="26" spans="1:12" ht="15.75">
      <c r="A26" s="97"/>
      <c r="B26" s="434"/>
      <c r="C26" s="526" t="s">
        <v>227</v>
      </c>
      <c r="D26" s="526"/>
      <c r="E26" s="526"/>
      <c r="F26" s="526"/>
      <c r="G26" s="526"/>
      <c r="H26" s="526"/>
      <c r="I26" s="526"/>
      <c r="J26" s="526"/>
      <c r="K26" s="526"/>
      <c r="L26" s="15"/>
    </row>
    <row r="27" spans="1:12" ht="12.75">
      <c r="A27" s="82" t="s">
        <v>2208</v>
      </c>
      <c r="B27" s="399" t="s">
        <v>3526</v>
      </c>
      <c r="C27" s="83" t="s">
        <v>3778</v>
      </c>
      <c r="D27" s="17" t="s">
        <v>3354</v>
      </c>
      <c r="E27" s="280" t="s">
        <v>726</v>
      </c>
      <c r="F27" s="17" t="s">
        <v>125</v>
      </c>
      <c r="G27" s="84" t="s">
        <v>1643</v>
      </c>
      <c r="H27" s="264" t="s">
        <v>2129</v>
      </c>
      <c r="I27" s="291" t="s">
        <v>2617</v>
      </c>
      <c r="J27" s="264" t="s">
        <v>3355</v>
      </c>
      <c r="K27" s="300" t="s">
        <v>3356</v>
      </c>
      <c r="L27" s="17" t="s">
        <v>1906</v>
      </c>
    </row>
    <row r="28" spans="1:12" ht="12.75">
      <c r="A28" s="82" t="s">
        <v>2209</v>
      </c>
      <c r="B28" s="399" t="s">
        <v>3493</v>
      </c>
      <c r="C28" s="92" t="s">
        <v>3357</v>
      </c>
      <c r="D28" s="18" t="s">
        <v>3375</v>
      </c>
      <c r="E28" s="104" t="s">
        <v>276</v>
      </c>
      <c r="F28" s="18" t="s">
        <v>125</v>
      </c>
      <c r="G28" s="79" t="s">
        <v>1643</v>
      </c>
      <c r="H28" s="258" t="s">
        <v>2129</v>
      </c>
      <c r="I28" s="286" t="s">
        <v>2211</v>
      </c>
      <c r="J28" s="258" t="s">
        <v>3358</v>
      </c>
      <c r="K28" s="287" t="s">
        <v>3370</v>
      </c>
      <c r="L28" s="18" t="s">
        <v>1906</v>
      </c>
    </row>
    <row r="29" spans="1:12" ht="12.75">
      <c r="A29" s="82" t="s">
        <v>2208</v>
      </c>
      <c r="B29" s="399" t="s">
        <v>3526</v>
      </c>
      <c r="C29" s="92" t="s">
        <v>3843</v>
      </c>
      <c r="D29" s="18" t="s">
        <v>3360</v>
      </c>
      <c r="E29" s="104" t="s">
        <v>251</v>
      </c>
      <c r="F29" s="18" t="s">
        <v>125</v>
      </c>
      <c r="G29" s="79" t="s">
        <v>1643</v>
      </c>
      <c r="H29" s="258" t="s">
        <v>2129</v>
      </c>
      <c r="I29" s="104" t="s">
        <v>2617</v>
      </c>
      <c r="J29" s="258" t="s">
        <v>3362</v>
      </c>
      <c r="K29" s="287" t="s">
        <v>4078</v>
      </c>
      <c r="L29" s="18" t="s">
        <v>1906</v>
      </c>
    </row>
    <row r="30" spans="1:12" ht="12.75">
      <c r="A30" s="82" t="s">
        <v>2209</v>
      </c>
      <c r="B30" s="399" t="s">
        <v>3493</v>
      </c>
      <c r="C30" s="94" t="s">
        <v>3778</v>
      </c>
      <c r="D30" s="19" t="s">
        <v>3363</v>
      </c>
      <c r="E30" s="281" t="s">
        <v>726</v>
      </c>
      <c r="F30" s="19" t="s">
        <v>125</v>
      </c>
      <c r="G30" s="98" t="s">
        <v>1643</v>
      </c>
      <c r="H30" s="265" t="s">
        <v>2129</v>
      </c>
      <c r="I30" s="281" t="s">
        <v>2617</v>
      </c>
      <c r="J30" s="265" t="s">
        <v>3355</v>
      </c>
      <c r="K30" s="301" t="s">
        <v>3356</v>
      </c>
      <c r="L30" s="19" t="s">
        <v>1906</v>
      </c>
    </row>
    <row r="31" spans="1:12" ht="12.75">
      <c r="A31" s="50"/>
      <c r="B31" s="402"/>
      <c r="C31" s="15"/>
      <c r="D31" s="15"/>
      <c r="E31" s="49"/>
      <c r="F31" s="15"/>
      <c r="G31" s="15"/>
      <c r="H31" s="49"/>
      <c r="I31" s="49"/>
      <c r="J31" s="49"/>
      <c r="K31" s="49"/>
      <c r="L31" s="15"/>
    </row>
    <row r="32" spans="1:12" ht="18">
      <c r="A32" s="50"/>
      <c r="B32" s="402"/>
      <c r="C32" s="16" t="s">
        <v>370</v>
      </c>
      <c r="D32" s="16"/>
      <c r="E32" s="15"/>
      <c r="F32" s="15"/>
      <c r="G32" s="15"/>
      <c r="H32" s="49"/>
      <c r="I32" s="49"/>
      <c r="J32" s="49"/>
      <c r="K32" s="49"/>
      <c r="L32" s="15"/>
    </row>
    <row r="33" spans="1:12" ht="18">
      <c r="A33" s="50"/>
      <c r="B33" s="402"/>
      <c r="C33" s="272" t="s">
        <v>3323</v>
      </c>
      <c r="D33" s="15"/>
      <c r="E33" s="15"/>
      <c r="F33" s="15"/>
      <c r="G33" s="15"/>
      <c r="H33" s="49"/>
      <c r="I33" s="49"/>
      <c r="J33" s="49"/>
      <c r="K33" s="49"/>
      <c r="L33" s="15"/>
    </row>
    <row r="34" spans="1:12" ht="18">
      <c r="A34" s="50"/>
      <c r="B34" s="402"/>
      <c r="C34" s="272"/>
      <c r="D34" s="15"/>
      <c r="E34" s="15"/>
      <c r="F34" s="15"/>
      <c r="G34" s="15"/>
      <c r="H34" s="49"/>
      <c r="I34" s="49"/>
      <c r="J34" s="49"/>
      <c r="K34" s="49"/>
      <c r="L34" s="15"/>
    </row>
    <row r="35" spans="1:12" ht="12.75">
      <c r="A35" s="50"/>
      <c r="B35" s="402"/>
      <c r="C35" s="458" t="s">
        <v>4081</v>
      </c>
      <c r="D35" s="15"/>
      <c r="E35" s="15"/>
      <c r="F35" s="15"/>
      <c r="G35" s="15"/>
      <c r="H35" s="49"/>
      <c r="I35" s="49"/>
      <c r="J35" s="49"/>
      <c r="K35" s="49"/>
      <c r="L35" s="15"/>
    </row>
    <row r="36" spans="1:12" ht="13.5">
      <c r="A36" s="278"/>
      <c r="B36" s="442"/>
      <c r="C36" s="26" t="s">
        <v>373</v>
      </c>
      <c r="D36" s="181" t="s">
        <v>374</v>
      </c>
      <c r="E36" s="181" t="s">
        <v>3286</v>
      </c>
      <c r="F36" s="181" t="s">
        <v>377</v>
      </c>
      <c r="G36" s="15"/>
      <c r="H36" s="49"/>
      <c r="I36" s="49"/>
      <c r="J36" s="49"/>
      <c r="K36" s="49"/>
      <c r="L36" s="15"/>
    </row>
    <row r="37" spans="1:12" ht="12.75">
      <c r="A37" s="50" t="s">
        <v>2208</v>
      </c>
      <c r="B37" s="402"/>
      <c r="C37" s="15" t="s">
        <v>3302</v>
      </c>
      <c r="D37" s="49" t="s">
        <v>3189</v>
      </c>
      <c r="E37" s="49" t="s">
        <v>216</v>
      </c>
      <c r="F37" s="49" t="s">
        <v>3346</v>
      </c>
      <c r="G37" s="15"/>
      <c r="H37" s="49"/>
      <c r="I37" s="49"/>
      <c r="J37" s="49"/>
      <c r="K37" s="49"/>
      <c r="L37" s="15"/>
    </row>
    <row r="38" spans="1:12" ht="12.75">
      <c r="A38" s="50" t="s">
        <v>2209</v>
      </c>
      <c r="B38" s="402"/>
      <c r="C38" s="15" t="s">
        <v>3364</v>
      </c>
      <c r="D38" s="49" t="s">
        <v>3189</v>
      </c>
      <c r="E38" s="49" t="s">
        <v>645</v>
      </c>
      <c r="F38" s="49" t="s">
        <v>3365</v>
      </c>
      <c r="G38" s="15"/>
      <c r="H38" s="49"/>
      <c r="I38" s="49"/>
      <c r="J38" s="49"/>
      <c r="K38" s="49"/>
      <c r="L38" s="15"/>
    </row>
    <row r="39" spans="1:12" ht="12.75">
      <c r="A39" s="50" t="s">
        <v>2210</v>
      </c>
      <c r="B39" s="402"/>
      <c r="C39" s="15" t="s">
        <v>3366</v>
      </c>
      <c r="D39" s="49" t="s">
        <v>3189</v>
      </c>
      <c r="E39" s="49" t="s">
        <v>722</v>
      </c>
      <c r="F39" s="49" t="s">
        <v>3367</v>
      </c>
      <c r="G39" s="15"/>
      <c r="H39" s="49"/>
      <c r="I39" s="49"/>
      <c r="J39" s="49"/>
      <c r="K39" s="49"/>
      <c r="L39" s="15"/>
    </row>
    <row r="40" spans="1:12" ht="12.75">
      <c r="A40" s="50"/>
      <c r="B40" s="402"/>
      <c r="C40" s="15"/>
      <c r="D40" s="49"/>
      <c r="E40" s="49"/>
      <c r="F40" s="49"/>
      <c r="G40" s="15"/>
      <c r="H40" s="49"/>
      <c r="I40" s="49"/>
      <c r="J40" s="49"/>
      <c r="K40" s="49"/>
      <c r="L40" s="15"/>
    </row>
    <row r="41" spans="1:12" ht="12.75">
      <c r="A41" s="50"/>
      <c r="B41" s="402"/>
      <c r="C41" s="458" t="s">
        <v>4080</v>
      </c>
      <c r="D41" s="15"/>
      <c r="E41" s="15"/>
      <c r="F41" s="15"/>
      <c r="G41" s="15"/>
      <c r="H41" s="49"/>
      <c r="I41" s="49"/>
      <c r="J41" s="49"/>
      <c r="K41" s="49"/>
      <c r="L41" s="15"/>
    </row>
    <row r="42" spans="1:12" ht="13.5">
      <c r="A42" s="50"/>
      <c r="B42" s="402"/>
      <c r="C42" s="26" t="s">
        <v>373</v>
      </c>
      <c r="D42" s="181" t="s">
        <v>374</v>
      </c>
      <c r="E42" s="181" t="s">
        <v>3286</v>
      </c>
      <c r="F42" s="181" t="s">
        <v>377</v>
      </c>
      <c r="G42" s="15"/>
      <c r="H42" s="49"/>
      <c r="I42" s="49"/>
      <c r="J42" s="49"/>
      <c r="K42" s="49"/>
      <c r="L42" s="15"/>
    </row>
    <row r="43" spans="1:6" ht="12.75">
      <c r="A43" s="29">
        <v>1</v>
      </c>
      <c r="C43" s="15" t="s">
        <v>3334</v>
      </c>
      <c r="D43" s="49" t="s">
        <v>3371</v>
      </c>
      <c r="E43" s="49" t="s">
        <v>3335</v>
      </c>
      <c r="F43" s="49" t="s">
        <v>3368</v>
      </c>
    </row>
    <row r="44" spans="1:6" ht="12.75">
      <c r="A44" s="29">
        <v>2</v>
      </c>
      <c r="C44" s="15" t="s">
        <v>3342</v>
      </c>
      <c r="D44" s="49" t="s">
        <v>3376</v>
      </c>
      <c r="E44" s="49" t="s">
        <v>3343</v>
      </c>
      <c r="F44" s="49" t="s">
        <v>3346</v>
      </c>
    </row>
    <row r="45" spans="1:6" ht="12.75">
      <c r="A45" s="29">
        <v>3</v>
      </c>
      <c r="C45" s="15" t="s">
        <v>619</v>
      </c>
      <c r="D45" s="49" t="s">
        <v>3376</v>
      </c>
      <c r="E45" s="49" t="s">
        <v>645</v>
      </c>
      <c r="F45" s="280" t="s">
        <v>4711</v>
      </c>
    </row>
    <row r="46" spans="3:6" ht="12.75">
      <c r="C46" s="15"/>
      <c r="D46" s="49"/>
      <c r="E46" s="49"/>
      <c r="F46" s="49"/>
    </row>
    <row r="47" ht="12.75">
      <c r="C47" s="459" t="s">
        <v>4081</v>
      </c>
    </row>
    <row r="48" spans="3:6" ht="13.5">
      <c r="C48" s="26" t="s">
        <v>373</v>
      </c>
      <c r="D48" s="181" t="s">
        <v>374</v>
      </c>
      <c r="E48" s="181" t="s">
        <v>3286</v>
      </c>
      <c r="F48" s="181" t="s">
        <v>377</v>
      </c>
    </row>
    <row r="49" spans="1:6" ht="12.75">
      <c r="A49" s="29">
        <v>1</v>
      </c>
      <c r="C49" s="15" t="s">
        <v>3359</v>
      </c>
      <c r="D49" s="49" t="s">
        <v>4079</v>
      </c>
      <c r="E49" s="49" t="s">
        <v>4082</v>
      </c>
      <c r="F49" s="287" t="s">
        <v>4078</v>
      </c>
    </row>
    <row r="50" spans="1:6" ht="12.75">
      <c r="A50" s="29">
        <v>2</v>
      </c>
      <c r="C50" s="15" t="s">
        <v>2841</v>
      </c>
      <c r="D50" s="49" t="s">
        <v>4079</v>
      </c>
      <c r="E50" s="49" t="s">
        <v>2729</v>
      </c>
      <c r="F50" s="287" t="s">
        <v>3356</v>
      </c>
    </row>
    <row r="51" spans="1:6" ht="12.75">
      <c r="A51" s="29">
        <v>3</v>
      </c>
      <c r="C51" s="15" t="s">
        <v>619</v>
      </c>
      <c r="D51" s="49" t="s">
        <v>3376</v>
      </c>
      <c r="E51" s="49" t="s">
        <v>645</v>
      </c>
      <c r="F51" s="287" t="s">
        <v>4712</v>
      </c>
    </row>
  </sheetData>
  <sheetProtection/>
  <mergeCells count="19">
    <mergeCell ref="K3:K4"/>
    <mergeCell ref="C26:K26"/>
    <mergeCell ref="L3:L4"/>
    <mergeCell ref="C6:K6"/>
    <mergeCell ref="C11:K11"/>
    <mergeCell ref="C14:K14"/>
    <mergeCell ref="C20:K20"/>
    <mergeCell ref="C23:K23"/>
    <mergeCell ref="C17:K17"/>
    <mergeCell ref="B3:B4"/>
    <mergeCell ref="C1:L1"/>
    <mergeCell ref="C2:L2"/>
    <mergeCell ref="A3:A4"/>
    <mergeCell ref="C3:C4"/>
    <mergeCell ref="E3:E4"/>
    <mergeCell ref="F3:F4"/>
    <mergeCell ref="G3:G4"/>
    <mergeCell ref="H3:I3"/>
    <mergeCell ref="J3:J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G30" sqref="G30"/>
    </sheetView>
  </sheetViews>
  <sheetFormatPr defaultColWidth="11.375" defaultRowHeight="12.75"/>
  <cols>
    <col min="1" max="1" width="8.875" style="0" customWidth="1"/>
    <col min="2" max="2" width="11.875" style="409" customWidth="1"/>
    <col min="3" max="3" width="32.25390625" style="0" customWidth="1"/>
    <col min="4" max="4" width="24.875" style="0" customWidth="1"/>
    <col min="5" max="5" width="16.75390625" style="0" customWidth="1"/>
    <col min="6" max="6" width="13.25390625" style="0" customWidth="1"/>
    <col min="7" max="7" width="24.25390625" style="0" customWidth="1"/>
    <col min="8" max="11" width="5.875" style="0" customWidth="1"/>
    <col min="12" max="12" width="8.375" style="0" customWidth="1"/>
    <col min="13" max="13" width="11.375" style="0" customWidth="1"/>
    <col min="14" max="14" width="15.125" style="0" customWidth="1"/>
  </cols>
  <sheetData>
    <row r="1" spans="1:15" ht="57.75" customHeight="1">
      <c r="A1" s="104"/>
      <c r="B1" s="433"/>
      <c r="C1" s="509" t="s">
        <v>3377</v>
      </c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49"/>
    </row>
    <row r="2" spans="1:15" ht="30" thickBot="1">
      <c r="A2" s="104"/>
      <c r="B2" s="433"/>
      <c r="C2" s="509" t="s">
        <v>3283</v>
      </c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49"/>
    </row>
    <row r="3" spans="1:15" ht="13.5" customHeight="1">
      <c r="A3" s="512" t="s">
        <v>1627</v>
      </c>
      <c r="B3" s="516" t="s">
        <v>4516</v>
      </c>
      <c r="C3" s="514" t="s">
        <v>0</v>
      </c>
      <c r="D3" s="454" t="s">
        <v>3284</v>
      </c>
      <c r="E3" s="514" t="s">
        <v>3286</v>
      </c>
      <c r="F3" s="514" t="s">
        <v>7</v>
      </c>
      <c r="G3" s="514" t="s">
        <v>3287</v>
      </c>
      <c r="H3" s="514" t="s">
        <v>2</v>
      </c>
      <c r="I3" s="514"/>
      <c r="J3" s="514"/>
      <c r="K3" s="514"/>
      <c r="L3" s="514" t="s">
        <v>1672</v>
      </c>
      <c r="M3" s="514" t="s">
        <v>6</v>
      </c>
      <c r="N3" s="510" t="s">
        <v>5</v>
      </c>
      <c r="O3" s="184"/>
    </row>
    <row r="4" spans="1:15" ht="15" thickBot="1">
      <c r="A4" s="513"/>
      <c r="B4" s="517"/>
      <c r="C4" s="515"/>
      <c r="D4" s="455" t="s">
        <v>3285</v>
      </c>
      <c r="E4" s="515"/>
      <c r="F4" s="515"/>
      <c r="G4" s="515"/>
      <c r="H4" s="457" t="s">
        <v>2208</v>
      </c>
      <c r="I4" s="457" t="s">
        <v>2209</v>
      </c>
      <c r="J4" s="457" t="s">
        <v>2210</v>
      </c>
      <c r="K4" s="457" t="s">
        <v>8</v>
      </c>
      <c r="L4" s="515"/>
      <c r="M4" s="515"/>
      <c r="N4" s="511"/>
      <c r="O4" s="184"/>
    </row>
    <row r="5" spans="1:15" ht="13.5">
      <c r="A5" s="184"/>
      <c r="B5" s="302"/>
      <c r="C5" s="184"/>
      <c r="D5" s="184"/>
      <c r="E5" s="184"/>
      <c r="F5" s="184"/>
      <c r="G5" s="184"/>
      <c r="H5" s="270"/>
      <c r="I5" s="270"/>
      <c r="J5" s="270"/>
      <c r="K5" s="270"/>
      <c r="L5" s="184"/>
      <c r="M5" s="184"/>
      <c r="N5" s="184"/>
      <c r="O5" s="184"/>
    </row>
    <row r="6" spans="1:14" ht="15.75">
      <c r="A6" s="282"/>
      <c r="B6" s="432"/>
      <c r="C6" s="508" t="s">
        <v>59</v>
      </c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15"/>
    </row>
    <row r="7" spans="1:14" ht="12.75">
      <c r="A7" s="82" t="s">
        <v>2208</v>
      </c>
      <c r="B7" s="399" t="s">
        <v>2708</v>
      </c>
      <c r="C7" s="259" t="s">
        <v>3844</v>
      </c>
      <c r="D7" s="20" t="s">
        <v>1142</v>
      </c>
      <c r="E7" s="260" t="s">
        <v>645</v>
      </c>
      <c r="F7" s="20" t="s">
        <v>125</v>
      </c>
      <c r="G7" s="260" t="s">
        <v>682</v>
      </c>
      <c r="H7" s="315" t="s">
        <v>176</v>
      </c>
      <c r="I7" s="303" t="s">
        <v>190</v>
      </c>
      <c r="J7" s="316" t="s">
        <v>121</v>
      </c>
      <c r="K7" s="305"/>
      <c r="L7" s="33" t="s">
        <v>190</v>
      </c>
      <c r="M7" s="304" t="s">
        <v>3365</v>
      </c>
      <c r="N7" s="20" t="s">
        <v>1906</v>
      </c>
    </row>
    <row r="8" spans="1:14" ht="12.75">
      <c r="A8" s="82"/>
      <c r="B8" s="399"/>
      <c r="C8" s="15"/>
      <c r="D8" s="15"/>
      <c r="E8" s="15"/>
      <c r="F8" s="15"/>
      <c r="G8" s="15"/>
      <c r="H8" s="49"/>
      <c r="I8" s="49"/>
      <c r="J8" s="49"/>
      <c r="K8" s="49"/>
      <c r="L8" s="50"/>
      <c r="M8" s="49"/>
      <c r="N8" s="15"/>
    </row>
    <row r="9" spans="1:14" ht="15.75">
      <c r="A9" s="282"/>
      <c r="B9" s="432"/>
      <c r="C9" s="508" t="s">
        <v>164</v>
      </c>
      <c r="D9" s="508"/>
      <c r="E9" s="508"/>
      <c r="F9" s="508"/>
      <c r="G9" s="508"/>
      <c r="H9" s="508"/>
      <c r="I9" s="508"/>
      <c r="J9" s="508"/>
      <c r="K9" s="508"/>
      <c r="L9" s="508"/>
      <c r="M9" s="508"/>
      <c r="N9" s="15"/>
    </row>
    <row r="10" spans="1:14" ht="12.75">
      <c r="A10" s="82" t="s">
        <v>2208</v>
      </c>
      <c r="B10" s="399" t="s">
        <v>3506</v>
      </c>
      <c r="C10" s="259" t="s">
        <v>3845</v>
      </c>
      <c r="D10" s="20" t="s">
        <v>3303</v>
      </c>
      <c r="E10" s="260" t="s">
        <v>216</v>
      </c>
      <c r="F10" s="20" t="s">
        <v>125</v>
      </c>
      <c r="G10" s="260" t="s">
        <v>815</v>
      </c>
      <c r="H10" s="315" t="s">
        <v>127</v>
      </c>
      <c r="I10" s="303" t="s">
        <v>108</v>
      </c>
      <c r="J10" s="316" t="s">
        <v>120</v>
      </c>
      <c r="K10" s="305"/>
      <c r="L10" s="33" t="s">
        <v>108</v>
      </c>
      <c r="M10" s="304" t="s">
        <v>3378</v>
      </c>
      <c r="N10" s="20" t="s">
        <v>1906</v>
      </c>
    </row>
    <row r="11" spans="1:14" ht="12.75">
      <c r="A11" s="82"/>
      <c r="B11" s="399"/>
      <c r="C11" s="15"/>
      <c r="D11" s="15"/>
      <c r="E11" s="15"/>
      <c r="F11" s="15"/>
      <c r="G11" s="15"/>
      <c r="H11" s="49"/>
      <c r="I11" s="49"/>
      <c r="J11" s="49"/>
      <c r="K11" s="49"/>
      <c r="L11" s="50"/>
      <c r="M11" s="49"/>
      <c r="N11" s="15"/>
    </row>
    <row r="12" spans="1:14" ht="15.75">
      <c r="A12" s="282"/>
      <c r="B12" s="432"/>
      <c r="C12" s="526" t="s">
        <v>227</v>
      </c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15"/>
    </row>
    <row r="13" spans="1:14" ht="12.75">
      <c r="A13" s="82" t="s">
        <v>2208</v>
      </c>
      <c r="B13" s="399" t="s">
        <v>3489</v>
      </c>
      <c r="C13" s="83" t="s">
        <v>3846</v>
      </c>
      <c r="D13" s="17" t="s">
        <v>3379</v>
      </c>
      <c r="E13" s="84" t="s">
        <v>722</v>
      </c>
      <c r="F13" s="17" t="s">
        <v>125</v>
      </c>
      <c r="G13" s="84" t="s">
        <v>1643</v>
      </c>
      <c r="H13" s="312" t="s">
        <v>175</v>
      </c>
      <c r="I13" s="309" t="s">
        <v>120</v>
      </c>
      <c r="J13" s="312" t="s">
        <v>121</v>
      </c>
      <c r="K13" s="309" t="s">
        <v>191</v>
      </c>
      <c r="L13" s="35" t="s">
        <v>121</v>
      </c>
      <c r="M13" s="280" t="s">
        <v>3367</v>
      </c>
      <c r="N13" s="17" t="s">
        <v>1906</v>
      </c>
    </row>
    <row r="14" spans="1:14" ht="12.75">
      <c r="A14" s="82" t="s">
        <v>2209</v>
      </c>
      <c r="B14" s="399" t="s">
        <v>3493</v>
      </c>
      <c r="C14" s="92" t="s">
        <v>2841</v>
      </c>
      <c r="D14" s="18" t="s">
        <v>3354</v>
      </c>
      <c r="E14" s="79" t="s">
        <v>726</v>
      </c>
      <c r="F14" s="18" t="s">
        <v>125</v>
      </c>
      <c r="G14" s="79" t="s">
        <v>1643</v>
      </c>
      <c r="H14" s="313" t="s">
        <v>89</v>
      </c>
      <c r="I14" s="307" t="s">
        <v>480</v>
      </c>
      <c r="J14" s="313" t="s">
        <v>811</v>
      </c>
      <c r="K14" s="308"/>
      <c r="L14" s="38" t="s">
        <v>811</v>
      </c>
      <c r="M14" s="104" t="s">
        <v>3380</v>
      </c>
      <c r="N14" s="18" t="s">
        <v>1906</v>
      </c>
    </row>
    <row r="15" spans="1:14" ht="12.75">
      <c r="A15" s="82" t="s">
        <v>2208</v>
      </c>
      <c r="B15" s="399" t="s">
        <v>3526</v>
      </c>
      <c r="C15" s="94" t="s">
        <v>2841</v>
      </c>
      <c r="D15" s="19" t="s">
        <v>3363</v>
      </c>
      <c r="E15" s="98" t="s">
        <v>726</v>
      </c>
      <c r="F15" s="19" t="s">
        <v>125</v>
      </c>
      <c r="G15" s="98" t="s">
        <v>1643</v>
      </c>
      <c r="H15" s="314" t="s">
        <v>89</v>
      </c>
      <c r="I15" s="310" t="s">
        <v>480</v>
      </c>
      <c r="J15" s="314" t="s">
        <v>811</v>
      </c>
      <c r="K15" s="311"/>
      <c r="L15" s="41" t="s">
        <v>811</v>
      </c>
      <c r="M15" s="281" t="s">
        <v>3380</v>
      </c>
      <c r="N15" s="19" t="s">
        <v>1906</v>
      </c>
    </row>
    <row r="16" spans="1:14" ht="12.75">
      <c r="A16" s="82"/>
      <c r="B16" s="399"/>
      <c r="C16" s="15"/>
      <c r="D16" s="15"/>
      <c r="E16" s="15"/>
      <c r="F16" s="15"/>
      <c r="G16" s="15"/>
      <c r="H16" s="49"/>
      <c r="I16" s="49"/>
      <c r="J16" s="49"/>
      <c r="K16" s="49"/>
      <c r="L16" s="50"/>
      <c r="M16" s="49"/>
      <c r="N16" s="15"/>
    </row>
    <row r="17" spans="1:14" ht="15.75">
      <c r="A17" s="282"/>
      <c r="B17" s="432"/>
      <c r="C17" s="508" t="s">
        <v>4722</v>
      </c>
      <c r="D17" s="508"/>
      <c r="E17" s="508"/>
      <c r="F17" s="508"/>
      <c r="G17" s="508"/>
      <c r="H17" s="508"/>
      <c r="I17" s="508"/>
      <c r="J17" s="508"/>
      <c r="K17" s="508"/>
      <c r="L17" s="508"/>
      <c r="M17" s="508"/>
      <c r="N17" s="15"/>
    </row>
    <row r="18" spans="1:14" ht="12.75">
      <c r="A18" s="82" t="s">
        <v>2208</v>
      </c>
      <c r="B18" s="399" t="s">
        <v>2708</v>
      </c>
      <c r="C18" s="259" t="s">
        <v>3847</v>
      </c>
      <c r="D18" s="20" t="s">
        <v>3383</v>
      </c>
      <c r="E18" s="260" t="s">
        <v>3384</v>
      </c>
      <c r="F18" s="20" t="s">
        <v>125</v>
      </c>
      <c r="G18" s="260" t="s">
        <v>1643</v>
      </c>
      <c r="H18" s="315" t="s">
        <v>884</v>
      </c>
      <c r="I18" s="303" t="s">
        <v>341</v>
      </c>
      <c r="J18" s="317"/>
      <c r="K18" s="305"/>
      <c r="L18" s="33" t="s">
        <v>341</v>
      </c>
      <c r="M18" s="304" t="s">
        <v>3385</v>
      </c>
      <c r="N18" s="20" t="s">
        <v>3386</v>
      </c>
    </row>
    <row r="19" spans="1:14" ht="12.75">
      <c r="A19" s="50"/>
      <c r="B19" s="402"/>
      <c r="C19" s="15"/>
      <c r="D19" s="15"/>
      <c r="E19" s="15"/>
      <c r="F19" s="15"/>
      <c r="G19" s="15"/>
      <c r="H19" s="49"/>
      <c r="I19" s="49"/>
      <c r="J19" s="49"/>
      <c r="K19" s="49"/>
      <c r="L19" s="50"/>
      <c r="M19" s="49"/>
      <c r="N19" s="15"/>
    </row>
    <row r="20" spans="1:14" ht="18">
      <c r="A20" s="50"/>
      <c r="B20" s="402"/>
      <c r="C20" s="16" t="s">
        <v>370</v>
      </c>
      <c r="D20" s="16"/>
      <c r="E20" s="15"/>
      <c r="F20" s="15"/>
      <c r="G20" s="15"/>
      <c r="H20" s="49"/>
      <c r="I20" s="49"/>
      <c r="J20" s="49"/>
      <c r="K20" s="49"/>
      <c r="L20" s="50"/>
      <c r="M20" s="49"/>
      <c r="N20" s="15"/>
    </row>
    <row r="21" spans="1:14" ht="18">
      <c r="A21" s="50"/>
      <c r="B21" s="402"/>
      <c r="C21" s="272" t="s">
        <v>3323</v>
      </c>
      <c r="D21" s="15"/>
      <c r="E21" s="15"/>
      <c r="F21" s="15"/>
      <c r="G21" s="15"/>
      <c r="H21" s="49"/>
      <c r="I21" s="49"/>
      <c r="J21" s="49"/>
      <c r="K21" s="49"/>
      <c r="L21" s="50"/>
      <c r="M21" s="49"/>
      <c r="N21" s="15"/>
    </row>
    <row r="22" spans="1:14" ht="12.75">
      <c r="A22" s="50"/>
      <c r="B22" s="402"/>
      <c r="C22" s="15"/>
      <c r="D22" s="15"/>
      <c r="E22" s="15"/>
      <c r="F22" s="15"/>
      <c r="G22" s="15"/>
      <c r="H22" s="49"/>
      <c r="I22" s="49"/>
      <c r="J22" s="49"/>
      <c r="K22" s="49"/>
      <c r="L22" s="50"/>
      <c r="M22" s="49"/>
      <c r="N22" s="15"/>
    </row>
    <row r="23" spans="1:14" ht="13.5">
      <c r="A23" s="50"/>
      <c r="B23" s="402"/>
      <c r="C23" s="26" t="s">
        <v>373</v>
      </c>
      <c r="D23" s="181" t="s">
        <v>374</v>
      </c>
      <c r="E23" s="181" t="s">
        <v>3286</v>
      </c>
      <c r="F23" s="181" t="s">
        <v>377</v>
      </c>
      <c r="G23" s="15"/>
      <c r="H23" s="49"/>
      <c r="I23" s="49"/>
      <c r="J23" s="49"/>
      <c r="K23" s="49"/>
      <c r="L23" s="50"/>
      <c r="M23" s="49"/>
      <c r="N23" s="15"/>
    </row>
    <row r="24" spans="1:14" ht="12.75">
      <c r="A24" s="50" t="s">
        <v>2208</v>
      </c>
      <c r="B24" s="402"/>
      <c r="C24" s="15" t="s">
        <v>3382</v>
      </c>
      <c r="D24" s="49" t="s">
        <v>3189</v>
      </c>
      <c r="E24" s="49" t="s">
        <v>3384</v>
      </c>
      <c r="F24" s="49" t="s">
        <v>3385</v>
      </c>
      <c r="G24" s="15"/>
      <c r="H24" s="49"/>
      <c r="I24" s="49"/>
      <c r="J24" s="49"/>
      <c r="K24" s="49"/>
      <c r="L24" s="50"/>
      <c r="M24" s="49"/>
      <c r="N24" s="15"/>
    </row>
    <row r="25" spans="1:14" ht="12.75">
      <c r="A25" s="50" t="s">
        <v>2209</v>
      </c>
      <c r="B25" s="402"/>
      <c r="C25" s="15" t="s">
        <v>3364</v>
      </c>
      <c r="D25" s="49" t="s">
        <v>3189</v>
      </c>
      <c r="E25" s="49" t="s">
        <v>645</v>
      </c>
      <c r="F25" s="49" t="s">
        <v>3365</v>
      </c>
      <c r="G25" s="15"/>
      <c r="H25" s="49"/>
      <c r="I25" s="49"/>
      <c r="J25" s="49"/>
      <c r="K25" s="49"/>
      <c r="L25" s="50"/>
      <c r="M25" s="49"/>
      <c r="N25" s="15"/>
    </row>
    <row r="26" spans="1:14" ht="12.75">
      <c r="A26" s="50" t="s">
        <v>2210</v>
      </c>
      <c r="B26" s="402"/>
      <c r="C26" s="15" t="s">
        <v>3366</v>
      </c>
      <c r="D26" s="49" t="s">
        <v>3189</v>
      </c>
      <c r="E26" s="49" t="s">
        <v>722</v>
      </c>
      <c r="F26" s="49" t="s">
        <v>3367</v>
      </c>
      <c r="G26" s="15"/>
      <c r="H26" s="49"/>
      <c r="I26" s="49"/>
      <c r="J26" s="49"/>
      <c r="K26" s="49"/>
      <c r="L26" s="50"/>
      <c r="M26" s="49"/>
      <c r="N26" s="15"/>
    </row>
    <row r="27" spans="1:14" ht="12.75">
      <c r="A27" s="50"/>
      <c r="B27" s="402"/>
      <c r="C27" s="15"/>
      <c r="D27" s="15"/>
      <c r="E27" s="15"/>
      <c r="F27" s="15"/>
      <c r="G27" s="15"/>
      <c r="H27" s="49"/>
      <c r="I27" s="49"/>
      <c r="J27" s="49"/>
      <c r="K27" s="49"/>
      <c r="L27" s="50"/>
      <c r="M27" s="49"/>
      <c r="N27" s="15"/>
    </row>
    <row r="28" spans="1:14" ht="12.75">
      <c r="A28" s="50"/>
      <c r="B28" s="402"/>
      <c r="C28" s="15"/>
      <c r="D28" s="15"/>
      <c r="E28" s="15"/>
      <c r="F28" s="15"/>
      <c r="G28" s="15"/>
      <c r="H28" s="49"/>
      <c r="I28" s="49"/>
      <c r="J28" s="49"/>
      <c r="K28" s="49"/>
      <c r="L28" s="50"/>
      <c r="M28" s="49"/>
      <c r="N28" s="15"/>
    </row>
    <row r="29" spans="1:14" ht="12.75">
      <c r="A29" s="50"/>
      <c r="B29" s="402"/>
      <c r="C29" s="15"/>
      <c r="D29" s="15"/>
      <c r="E29" s="15"/>
      <c r="F29" s="15"/>
      <c r="G29" s="15"/>
      <c r="H29" s="49"/>
      <c r="I29" s="49"/>
      <c r="J29" s="49"/>
      <c r="K29" s="49"/>
      <c r="L29" s="50"/>
      <c r="M29" s="49"/>
      <c r="N29" s="15"/>
    </row>
    <row r="30" spans="1:14" ht="12.75">
      <c r="A30" s="50"/>
      <c r="B30" s="402"/>
      <c r="C30" s="15"/>
      <c r="D30" s="15"/>
      <c r="E30" s="15"/>
      <c r="F30" s="15"/>
      <c r="G30" s="15"/>
      <c r="H30" s="49"/>
      <c r="I30" s="49"/>
      <c r="J30" s="49"/>
      <c r="K30" s="49"/>
      <c r="L30" s="50"/>
      <c r="M30" s="49"/>
      <c r="N30" s="15"/>
    </row>
    <row r="31" spans="1:14" ht="12.75">
      <c r="A31" s="50"/>
      <c r="B31" s="402"/>
      <c r="C31" s="15"/>
      <c r="D31" s="15"/>
      <c r="E31" s="15"/>
      <c r="F31" s="15"/>
      <c r="G31" s="15"/>
      <c r="H31" s="49"/>
      <c r="I31" s="49"/>
      <c r="J31" s="49"/>
      <c r="K31" s="49"/>
      <c r="L31" s="50"/>
      <c r="M31" s="49"/>
      <c r="N31" s="15"/>
    </row>
    <row r="32" spans="1:14" ht="12.75">
      <c r="A32" s="50"/>
      <c r="B32" s="402"/>
      <c r="C32" s="15"/>
      <c r="D32" s="15"/>
      <c r="E32" s="15"/>
      <c r="F32" s="15"/>
      <c r="G32" s="15"/>
      <c r="H32" s="49"/>
      <c r="I32" s="49"/>
      <c r="J32" s="49"/>
      <c r="K32" s="49"/>
      <c r="L32" s="50"/>
      <c r="M32" s="49"/>
      <c r="N32" s="15"/>
    </row>
    <row r="33" spans="1:14" ht="12.75">
      <c r="A33" s="50"/>
      <c r="B33" s="402"/>
      <c r="C33" s="15"/>
      <c r="D33" s="15"/>
      <c r="E33" s="15"/>
      <c r="F33" s="15"/>
      <c r="G33" s="15"/>
      <c r="H33" s="49"/>
      <c r="I33" s="49"/>
      <c r="J33" s="49"/>
      <c r="K33" s="49"/>
      <c r="L33" s="50"/>
      <c r="M33" s="49"/>
      <c r="N33" s="15"/>
    </row>
    <row r="34" spans="1:14" ht="12.75">
      <c r="A34" s="50"/>
      <c r="B34" s="402"/>
      <c r="C34" s="15"/>
      <c r="D34" s="15"/>
      <c r="E34" s="15"/>
      <c r="F34" s="15"/>
      <c r="G34" s="15"/>
      <c r="H34" s="49"/>
      <c r="I34" s="49"/>
      <c r="J34" s="49"/>
      <c r="K34" s="49"/>
      <c r="L34" s="50"/>
      <c r="M34" s="49"/>
      <c r="N34" s="15"/>
    </row>
    <row r="35" spans="1:14" ht="12.75">
      <c r="A35" s="50"/>
      <c r="B35" s="402"/>
      <c r="C35" s="15"/>
      <c r="D35" s="15"/>
      <c r="E35" s="15"/>
      <c r="F35" s="15"/>
      <c r="G35" s="15"/>
      <c r="H35" s="49"/>
      <c r="I35" s="49"/>
      <c r="J35" s="49"/>
      <c r="K35" s="49"/>
      <c r="L35" s="50"/>
      <c r="M35" s="49"/>
      <c r="N35" s="15"/>
    </row>
    <row r="36" spans="1:14" ht="12.75">
      <c r="A36" s="50"/>
      <c r="B36" s="402"/>
      <c r="C36" s="15"/>
      <c r="D36" s="15"/>
      <c r="E36" s="15"/>
      <c r="F36" s="15"/>
      <c r="G36" s="15"/>
      <c r="H36" s="49"/>
      <c r="I36" s="49"/>
      <c r="J36" s="49"/>
      <c r="K36" s="49"/>
      <c r="L36" s="50"/>
      <c r="M36" s="49"/>
      <c r="N36" s="15"/>
    </row>
    <row r="37" spans="1:14" ht="12.75">
      <c r="A37" s="50"/>
      <c r="B37" s="402"/>
      <c r="C37" s="15"/>
      <c r="D37" s="15"/>
      <c r="E37" s="15"/>
      <c r="F37" s="15"/>
      <c r="G37" s="15"/>
      <c r="H37" s="49"/>
      <c r="I37" s="49"/>
      <c r="J37" s="49"/>
      <c r="K37" s="49"/>
      <c r="L37" s="50"/>
      <c r="M37" s="49"/>
      <c r="N37" s="15"/>
    </row>
  </sheetData>
  <sheetProtection/>
  <mergeCells count="16">
    <mergeCell ref="A3:A4"/>
    <mergeCell ref="C3:C4"/>
    <mergeCell ref="E3:E4"/>
    <mergeCell ref="F3:F4"/>
    <mergeCell ref="G3:G4"/>
    <mergeCell ref="H3:K3"/>
    <mergeCell ref="B3:B4"/>
    <mergeCell ref="N3:N4"/>
    <mergeCell ref="C6:M6"/>
    <mergeCell ref="C9:M9"/>
    <mergeCell ref="C12:M12"/>
    <mergeCell ref="C17:M17"/>
    <mergeCell ref="C1:N1"/>
    <mergeCell ref="C2:N2"/>
    <mergeCell ref="L3:L4"/>
    <mergeCell ref="M3:M4"/>
  </mergeCells>
  <printOptions/>
  <pageMargins left="0.75" right="0.75" top="1" bottom="1" header="0.5" footer="0.5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G40" sqref="G40"/>
    </sheetView>
  </sheetViews>
  <sheetFormatPr defaultColWidth="11.375" defaultRowHeight="12.75"/>
  <cols>
    <col min="1" max="1" width="8.375" style="430" customWidth="1"/>
    <col min="2" max="2" width="11.25390625" style="439" customWidth="1"/>
    <col min="3" max="3" width="23.125" style="0" customWidth="1"/>
    <col min="4" max="4" width="28.125" style="0" customWidth="1"/>
    <col min="5" max="5" width="16.00390625" style="0" customWidth="1"/>
    <col min="6" max="6" width="11.25390625" style="0" customWidth="1"/>
    <col min="7" max="7" width="26.00390625" style="0" customWidth="1"/>
    <col min="8" max="10" width="5.375" style="0" customWidth="1"/>
    <col min="11" max="11" width="8.375" style="0" customWidth="1"/>
    <col min="12" max="12" width="7.75390625" style="0" customWidth="1"/>
    <col min="13" max="13" width="8.875" style="0" customWidth="1"/>
    <col min="14" max="14" width="10.875" style="0" customWidth="1"/>
    <col min="15" max="16" width="7.625" style="0" customWidth="1"/>
    <col min="17" max="17" width="9.875" style="0" customWidth="1"/>
    <col min="18" max="18" width="15.875" style="0" customWidth="1"/>
  </cols>
  <sheetData>
    <row r="1" spans="1:18" ht="57.75" customHeight="1">
      <c r="A1" s="327"/>
      <c r="B1" s="438"/>
      <c r="C1" s="534" t="s">
        <v>3387</v>
      </c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</row>
    <row r="2" spans="1:18" ht="34.5" customHeight="1" thickBot="1">
      <c r="A2" s="327"/>
      <c r="B2" s="438"/>
      <c r="C2" s="534" t="s">
        <v>3283</v>
      </c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</row>
    <row r="3" spans="1:18" ht="13.5" customHeight="1">
      <c r="A3" s="512" t="s">
        <v>1627</v>
      </c>
      <c r="B3" s="504" t="s">
        <v>4516</v>
      </c>
      <c r="C3" s="514" t="s">
        <v>0</v>
      </c>
      <c r="D3" s="454" t="s">
        <v>3284</v>
      </c>
      <c r="E3" s="514" t="s">
        <v>3286</v>
      </c>
      <c r="F3" s="514" t="s">
        <v>7</v>
      </c>
      <c r="G3" s="514" t="s">
        <v>3287</v>
      </c>
      <c r="H3" s="514" t="s">
        <v>3388</v>
      </c>
      <c r="I3" s="514"/>
      <c r="J3" s="514"/>
      <c r="K3" s="514" t="s">
        <v>1672</v>
      </c>
      <c r="L3" s="514" t="s">
        <v>3389</v>
      </c>
      <c r="M3" s="514" t="s">
        <v>3288</v>
      </c>
      <c r="N3" s="514"/>
      <c r="O3" s="514" t="s">
        <v>3389</v>
      </c>
      <c r="P3" s="516" t="s">
        <v>3390</v>
      </c>
      <c r="Q3" s="514" t="s">
        <v>6</v>
      </c>
      <c r="R3" s="510" t="s">
        <v>5</v>
      </c>
    </row>
    <row r="4" spans="1:18" ht="15" thickBot="1">
      <c r="A4" s="513"/>
      <c r="B4" s="535"/>
      <c r="C4" s="515"/>
      <c r="D4" s="455" t="s">
        <v>3285</v>
      </c>
      <c r="E4" s="515"/>
      <c r="F4" s="515"/>
      <c r="G4" s="515"/>
      <c r="H4" s="456" t="s">
        <v>2208</v>
      </c>
      <c r="I4" s="456" t="s">
        <v>2209</v>
      </c>
      <c r="J4" s="456" t="s">
        <v>2210</v>
      </c>
      <c r="K4" s="515"/>
      <c r="L4" s="515"/>
      <c r="M4" s="456" t="s">
        <v>2604</v>
      </c>
      <c r="N4" s="456" t="s">
        <v>3289</v>
      </c>
      <c r="O4" s="515"/>
      <c r="P4" s="517"/>
      <c r="Q4" s="515"/>
      <c r="R4" s="511"/>
    </row>
    <row r="5" spans="1:18" ht="15.75">
      <c r="A5" s="327"/>
      <c r="B5" s="438"/>
      <c r="C5" s="532" t="s">
        <v>2977</v>
      </c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320"/>
    </row>
    <row r="6" spans="1:18" s="420" customFormat="1" ht="12.75">
      <c r="A6" s="28" t="s">
        <v>2208</v>
      </c>
      <c r="B6" s="443" t="s">
        <v>3526</v>
      </c>
      <c r="C6" s="9" t="s">
        <v>619</v>
      </c>
      <c r="D6" s="9" t="s">
        <v>3332</v>
      </c>
      <c r="E6" s="8" t="s">
        <v>580</v>
      </c>
      <c r="F6" s="9" t="s">
        <v>125</v>
      </c>
      <c r="G6" s="283" t="s">
        <v>621</v>
      </c>
      <c r="H6" s="466" t="s">
        <v>25</v>
      </c>
      <c r="I6" s="466" t="s">
        <v>528</v>
      </c>
      <c r="J6" s="479"/>
      <c r="K6" s="70" t="s">
        <v>528</v>
      </c>
      <c r="L6" s="70" t="s">
        <v>3391</v>
      </c>
      <c r="M6" s="8" t="s">
        <v>2129</v>
      </c>
      <c r="N6" s="8" t="s">
        <v>2213</v>
      </c>
      <c r="O6" s="70" t="s">
        <v>3391</v>
      </c>
      <c r="P6" s="70" t="s">
        <v>3392</v>
      </c>
      <c r="Q6" s="8" t="s">
        <v>4714</v>
      </c>
      <c r="R6" s="9" t="s">
        <v>51</v>
      </c>
    </row>
    <row r="7" spans="1:18" s="420" customFormat="1" ht="12.75">
      <c r="A7" s="28" t="s">
        <v>2208</v>
      </c>
      <c r="B7" s="443" t="s">
        <v>3526</v>
      </c>
      <c r="C7" s="13" t="s">
        <v>619</v>
      </c>
      <c r="D7" s="13" t="s">
        <v>3339</v>
      </c>
      <c r="E7" s="12" t="s">
        <v>580</v>
      </c>
      <c r="F7" s="13" t="s">
        <v>125</v>
      </c>
      <c r="G7" s="299" t="s">
        <v>621</v>
      </c>
      <c r="H7" s="467" t="s">
        <v>25</v>
      </c>
      <c r="I7" s="467" t="s">
        <v>528</v>
      </c>
      <c r="J7" s="480"/>
      <c r="K7" s="73" t="s">
        <v>528</v>
      </c>
      <c r="L7" s="73" t="s">
        <v>3391</v>
      </c>
      <c r="M7" s="12" t="s">
        <v>2129</v>
      </c>
      <c r="N7" s="12" t="s">
        <v>2213</v>
      </c>
      <c r="O7" s="73" t="s">
        <v>3391</v>
      </c>
      <c r="P7" s="73" t="s">
        <v>3392</v>
      </c>
      <c r="Q7" s="12" t="s">
        <v>4714</v>
      </c>
      <c r="R7" s="13" t="s">
        <v>51</v>
      </c>
    </row>
    <row r="8" spans="1:18" ht="15.75">
      <c r="A8" s="327"/>
      <c r="B8" s="438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0"/>
    </row>
    <row r="9" spans="1:18" ht="15.75">
      <c r="A9" s="327"/>
      <c r="B9" s="438"/>
      <c r="C9" s="532" t="s">
        <v>59</v>
      </c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320"/>
    </row>
    <row r="10" spans="1:18" s="420" customFormat="1" ht="12.75">
      <c r="A10" s="28" t="s">
        <v>2208</v>
      </c>
      <c r="B10" s="443" t="s">
        <v>3506</v>
      </c>
      <c r="C10" s="416" t="s">
        <v>3848</v>
      </c>
      <c r="D10" s="416" t="s">
        <v>1142</v>
      </c>
      <c r="E10" s="8" t="s">
        <v>645</v>
      </c>
      <c r="F10" s="418" t="s">
        <v>125</v>
      </c>
      <c r="G10" s="9" t="s">
        <v>682</v>
      </c>
      <c r="H10" s="464" t="s">
        <v>176</v>
      </c>
      <c r="I10" s="466" t="s">
        <v>190</v>
      </c>
      <c r="J10" s="463" t="s">
        <v>121</v>
      </c>
      <c r="K10" s="70" t="s">
        <v>3393</v>
      </c>
      <c r="L10" s="419" t="s">
        <v>3391</v>
      </c>
      <c r="M10" s="8" t="s">
        <v>2129</v>
      </c>
      <c r="N10" s="417" t="s">
        <v>3361</v>
      </c>
      <c r="O10" s="70" t="s">
        <v>3391</v>
      </c>
      <c r="P10" s="419" t="s">
        <v>3392</v>
      </c>
      <c r="Q10" s="8" t="s">
        <v>3394</v>
      </c>
      <c r="R10" s="460" t="s">
        <v>1906</v>
      </c>
    </row>
    <row r="11" spans="1:18" s="420" customFormat="1" ht="12.75">
      <c r="A11" s="28" t="s">
        <v>2209</v>
      </c>
      <c r="B11" s="443" t="s">
        <v>3493</v>
      </c>
      <c r="C11" s="266" t="s">
        <v>3849</v>
      </c>
      <c r="D11" s="266" t="s">
        <v>3395</v>
      </c>
      <c r="E11" s="10" t="s">
        <v>3396</v>
      </c>
      <c r="F11" s="5" t="s">
        <v>125</v>
      </c>
      <c r="G11" s="11" t="s">
        <v>445</v>
      </c>
      <c r="H11" s="465" t="s">
        <v>480</v>
      </c>
      <c r="I11" s="422" t="s">
        <v>131</v>
      </c>
      <c r="J11" s="421" t="s">
        <v>131</v>
      </c>
      <c r="K11" s="71" t="s">
        <v>2513</v>
      </c>
      <c r="L11" s="28" t="s">
        <v>2731</v>
      </c>
      <c r="M11" s="10" t="s">
        <v>2129</v>
      </c>
      <c r="N11" s="1" t="s">
        <v>3351</v>
      </c>
      <c r="O11" s="71" t="s">
        <v>2731</v>
      </c>
      <c r="P11" s="28" t="s">
        <v>2708</v>
      </c>
      <c r="Q11" s="10" t="s">
        <v>3397</v>
      </c>
      <c r="R11" s="461" t="s">
        <v>3398</v>
      </c>
    </row>
    <row r="12" spans="1:18" s="420" customFormat="1" ht="12.75">
      <c r="A12" s="28" t="s">
        <v>2208</v>
      </c>
      <c r="B12" s="443" t="s">
        <v>3526</v>
      </c>
      <c r="C12" s="485" t="s">
        <v>3850</v>
      </c>
      <c r="D12" s="485" t="s">
        <v>3400</v>
      </c>
      <c r="E12" s="12" t="s">
        <v>640</v>
      </c>
      <c r="F12" s="486" t="s">
        <v>125</v>
      </c>
      <c r="G12" s="13" t="s">
        <v>1643</v>
      </c>
      <c r="H12" s="487" t="s">
        <v>480</v>
      </c>
      <c r="I12" s="467" t="s">
        <v>480</v>
      </c>
      <c r="J12" s="488" t="s">
        <v>132</v>
      </c>
      <c r="K12" s="73" t="s">
        <v>3401</v>
      </c>
      <c r="L12" s="489" t="s">
        <v>3391</v>
      </c>
      <c r="M12" s="12" t="s">
        <v>2129</v>
      </c>
      <c r="N12" s="490" t="s">
        <v>3351</v>
      </c>
      <c r="O12" s="73" t="s">
        <v>3391</v>
      </c>
      <c r="P12" s="489" t="s">
        <v>3392</v>
      </c>
      <c r="Q12" s="12" t="s">
        <v>3402</v>
      </c>
      <c r="R12" s="462" t="s">
        <v>51</v>
      </c>
    </row>
    <row r="13" spans="1:18" ht="12.75">
      <c r="A13" s="327"/>
      <c r="B13" s="438"/>
      <c r="C13" s="320"/>
      <c r="D13" s="318"/>
      <c r="E13" s="318"/>
      <c r="F13" s="320"/>
      <c r="G13" s="320"/>
      <c r="H13" s="318"/>
      <c r="I13" s="318"/>
      <c r="J13" s="318"/>
      <c r="K13" s="325"/>
      <c r="L13" s="325"/>
      <c r="M13" s="318"/>
      <c r="N13" s="318"/>
      <c r="O13" s="325"/>
      <c r="P13" s="325"/>
      <c r="Q13" s="318"/>
      <c r="R13" s="320"/>
    </row>
    <row r="14" spans="1:18" ht="15.75">
      <c r="A14" s="327"/>
      <c r="B14" s="438"/>
      <c r="C14" s="532" t="s">
        <v>164</v>
      </c>
      <c r="D14" s="532"/>
      <c r="E14" s="532"/>
      <c r="F14" s="532"/>
      <c r="G14" s="532"/>
      <c r="H14" s="532"/>
      <c r="I14" s="532"/>
      <c r="J14" s="532"/>
      <c r="K14" s="532"/>
      <c r="L14" s="532"/>
      <c r="M14" s="532"/>
      <c r="N14" s="532"/>
      <c r="O14" s="532"/>
      <c r="P14" s="532"/>
      <c r="Q14" s="532"/>
      <c r="R14" s="320"/>
    </row>
    <row r="15" spans="1:18" ht="12.75">
      <c r="A15" s="327" t="s">
        <v>2208</v>
      </c>
      <c r="B15" s="438" t="s">
        <v>3506</v>
      </c>
      <c r="C15" s="288" t="s">
        <v>3851</v>
      </c>
      <c r="D15" s="297" t="s">
        <v>3403</v>
      </c>
      <c r="E15" s="290" t="s">
        <v>211</v>
      </c>
      <c r="F15" s="297" t="s">
        <v>125</v>
      </c>
      <c r="G15" s="289" t="s">
        <v>3404</v>
      </c>
      <c r="H15" s="312" t="s">
        <v>132</v>
      </c>
      <c r="I15" s="309" t="s">
        <v>64</v>
      </c>
      <c r="J15" s="312" t="s">
        <v>153</v>
      </c>
      <c r="K15" s="328" t="s">
        <v>3405</v>
      </c>
      <c r="L15" s="331" t="s">
        <v>3391</v>
      </c>
      <c r="M15" s="290" t="s">
        <v>2129</v>
      </c>
      <c r="N15" s="333" t="s">
        <v>2698</v>
      </c>
      <c r="O15" s="328" t="s">
        <v>3391</v>
      </c>
      <c r="P15" s="331" t="s">
        <v>3392</v>
      </c>
      <c r="Q15" s="290" t="s">
        <v>3406</v>
      </c>
      <c r="R15" s="297" t="s">
        <v>1906</v>
      </c>
    </row>
    <row r="16" spans="1:18" ht="12.75">
      <c r="A16" s="327" t="s">
        <v>2208</v>
      </c>
      <c r="B16" s="438" t="s">
        <v>3506</v>
      </c>
      <c r="C16" s="292" t="s">
        <v>3845</v>
      </c>
      <c r="D16" s="298" t="s">
        <v>3303</v>
      </c>
      <c r="E16" s="285" t="s">
        <v>216</v>
      </c>
      <c r="F16" s="298" t="s">
        <v>125</v>
      </c>
      <c r="G16" s="284" t="s">
        <v>815</v>
      </c>
      <c r="H16" s="313" t="s">
        <v>127</v>
      </c>
      <c r="I16" s="307" t="s">
        <v>108</v>
      </c>
      <c r="J16" s="338" t="s">
        <v>120</v>
      </c>
      <c r="K16" s="327" t="s">
        <v>3407</v>
      </c>
      <c r="L16" s="339" t="s">
        <v>3391</v>
      </c>
      <c r="M16" s="285" t="s">
        <v>2129</v>
      </c>
      <c r="N16" s="340" t="s">
        <v>3353</v>
      </c>
      <c r="O16" s="327" t="s">
        <v>3391</v>
      </c>
      <c r="P16" s="339" t="s">
        <v>3392</v>
      </c>
      <c r="Q16" s="285" t="s">
        <v>3408</v>
      </c>
      <c r="R16" s="298" t="s">
        <v>1906</v>
      </c>
    </row>
    <row r="17" spans="1:18" ht="12.75">
      <c r="A17" s="327" t="s">
        <v>2208</v>
      </c>
      <c r="B17" s="438" t="s">
        <v>3526</v>
      </c>
      <c r="C17" s="293" t="s">
        <v>3409</v>
      </c>
      <c r="D17" s="299" t="s">
        <v>3410</v>
      </c>
      <c r="E17" s="295" t="s">
        <v>3411</v>
      </c>
      <c r="F17" s="299" t="s">
        <v>125</v>
      </c>
      <c r="G17" s="294" t="s">
        <v>3404</v>
      </c>
      <c r="H17" s="314" t="s">
        <v>25</v>
      </c>
      <c r="I17" s="310" t="s">
        <v>88</v>
      </c>
      <c r="J17" s="337" t="s">
        <v>447</v>
      </c>
      <c r="K17" s="329" t="s">
        <v>3412</v>
      </c>
      <c r="L17" s="332" t="s">
        <v>3391</v>
      </c>
      <c r="M17" s="295" t="s">
        <v>2129</v>
      </c>
      <c r="N17" s="322" t="s">
        <v>2214</v>
      </c>
      <c r="O17" s="329" t="s">
        <v>3391</v>
      </c>
      <c r="P17" s="332" t="s">
        <v>3392</v>
      </c>
      <c r="Q17" s="295" t="s">
        <v>3413</v>
      </c>
      <c r="R17" s="299" t="s">
        <v>1906</v>
      </c>
    </row>
    <row r="18" spans="1:18" ht="12.75">
      <c r="A18" s="327"/>
      <c r="B18" s="438"/>
      <c r="C18" s="320"/>
      <c r="D18" s="318"/>
      <c r="E18" s="318"/>
      <c r="F18" s="320"/>
      <c r="G18" s="320"/>
      <c r="H18" s="318"/>
      <c r="I18" s="318"/>
      <c r="J18" s="318"/>
      <c r="K18" s="325"/>
      <c r="L18" s="325"/>
      <c r="M18" s="318"/>
      <c r="N18" s="318"/>
      <c r="O18" s="325"/>
      <c r="P18" s="325"/>
      <c r="Q18" s="318"/>
      <c r="R18" s="320"/>
    </row>
    <row r="19" spans="1:18" ht="15.75">
      <c r="A19" s="327"/>
      <c r="B19" s="438"/>
      <c r="C19" s="532" t="s">
        <v>227</v>
      </c>
      <c r="D19" s="532"/>
      <c r="E19" s="532"/>
      <c r="F19" s="532"/>
      <c r="G19" s="532"/>
      <c r="H19" s="532"/>
      <c r="I19" s="532"/>
      <c r="J19" s="532"/>
      <c r="K19" s="532"/>
      <c r="L19" s="532"/>
      <c r="M19" s="532"/>
      <c r="N19" s="532"/>
      <c r="O19" s="532"/>
      <c r="P19" s="532"/>
      <c r="Q19" s="532"/>
      <c r="R19" s="320"/>
    </row>
    <row r="20" spans="1:18" ht="12.75">
      <c r="A20" s="327" t="s">
        <v>2208</v>
      </c>
      <c r="B20" s="438" t="s">
        <v>3506</v>
      </c>
      <c r="C20" s="288" t="s">
        <v>3852</v>
      </c>
      <c r="D20" s="297" t="s">
        <v>2659</v>
      </c>
      <c r="E20" s="290" t="s">
        <v>262</v>
      </c>
      <c r="F20" s="297" t="s">
        <v>125</v>
      </c>
      <c r="G20" s="289" t="s">
        <v>682</v>
      </c>
      <c r="H20" s="312" t="s">
        <v>191</v>
      </c>
      <c r="I20" s="309" t="s">
        <v>237</v>
      </c>
      <c r="J20" s="330"/>
      <c r="K20" s="328" t="s">
        <v>3414</v>
      </c>
      <c r="L20" s="331" t="s">
        <v>3391</v>
      </c>
      <c r="M20" s="290" t="s">
        <v>2129</v>
      </c>
      <c r="N20" s="333" t="s">
        <v>2726</v>
      </c>
      <c r="O20" s="328" t="s">
        <v>3391</v>
      </c>
      <c r="P20" s="331" t="s">
        <v>3392</v>
      </c>
      <c r="Q20" s="290" t="s">
        <v>3415</v>
      </c>
      <c r="R20" s="297" t="s">
        <v>3311</v>
      </c>
    </row>
    <row r="21" spans="1:18" ht="12.75">
      <c r="A21" s="327" t="s">
        <v>2208</v>
      </c>
      <c r="B21" s="438" t="s">
        <v>3506</v>
      </c>
      <c r="C21" s="292" t="s">
        <v>3852</v>
      </c>
      <c r="D21" s="298" t="s">
        <v>3312</v>
      </c>
      <c r="E21" s="285" t="s">
        <v>262</v>
      </c>
      <c r="F21" s="298" t="s">
        <v>125</v>
      </c>
      <c r="G21" s="284" t="s">
        <v>682</v>
      </c>
      <c r="H21" s="313" t="s">
        <v>191</v>
      </c>
      <c r="I21" s="307" t="s">
        <v>237</v>
      </c>
      <c r="J21" s="341"/>
      <c r="K21" s="327" t="s">
        <v>3414</v>
      </c>
      <c r="L21" s="339" t="s">
        <v>3391</v>
      </c>
      <c r="M21" s="285" t="s">
        <v>2129</v>
      </c>
      <c r="N21" s="340" t="s">
        <v>2726</v>
      </c>
      <c r="O21" s="327" t="s">
        <v>3391</v>
      </c>
      <c r="P21" s="339" t="s">
        <v>3392</v>
      </c>
      <c r="Q21" s="285" t="s">
        <v>3415</v>
      </c>
      <c r="R21" s="298" t="s">
        <v>3311</v>
      </c>
    </row>
    <row r="22" spans="1:18" ht="12.75">
      <c r="A22" s="327" t="s">
        <v>2208</v>
      </c>
      <c r="B22" s="438" t="s">
        <v>3526</v>
      </c>
      <c r="C22" s="293" t="s">
        <v>2841</v>
      </c>
      <c r="D22" s="299" t="s">
        <v>3363</v>
      </c>
      <c r="E22" s="295" t="s">
        <v>726</v>
      </c>
      <c r="F22" s="299" t="s">
        <v>125</v>
      </c>
      <c r="G22" s="294" t="s">
        <v>1643</v>
      </c>
      <c r="H22" s="314" t="s">
        <v>89</v>
      </c>
      <c r="I22" s="310" t="s">
        <v>480</v>
      </c>
      <c r="J22" s="314" t="s">
        <v>811</v>
      </c>
      <c r="K22" s="329" t="s">
        <v>3416</v>
      </c>
      <c r="L22" s="332" t="s">
        <v>2731</v>
      </c>
      <c r="M22" s="295" t="s">
        <v>2129</v>
      </c>
      <c r="N22" s="322" t="s">
        <v>2617</v>
      </c>
      <c r="O22" s="329" t="s">
        <v>2731</v>
      </c>
      <c r="P22" s="332" t="s">
        <v>2708</v>
      </c>
      <c r="Q22" s="295" t="s">
        <v>3417</v>
      </c>
      <c r="R22" s="299" t="s">
        <v>1906</v>
      </c>
    </row>
    <row r="23" spans="1:18" ht="12.75">
      <c r="A23" s="327"/>
      <c r="B23" s="438"/>
      <c r="C23" s="320"/>
      <c r="D23" s="318"/>
      <c r="E23" s="318"/>
      <c r="F23" s="320"/>
      <c r="G23" s="320"/>
      <c r="H23" s="318"/>
      <c r="I23" s="318"/>
      <c r="J23" s="318"/>
      <c r="K23" s="325"/>
      <c r="L23" s="325"/>
      <c r="M23" s="318"/>
      <c r="N23" s="318"/>
      <c r="O23" s="325"/>
      <c r="P23" s="325"/>
      <c r="Q23" s="318"/>
      <c r="R23" s="320"/>
    </row>
    <row r="24" spans="1:18" ht="15.75">
      <c r="A24" s="327"/>
      <c r="B24" s="438"/>
      <c r="C24" s="533" t="s">
        <v>3319</v>
      </c>
      <c r="D24" s="533"/>
      <c r="E24" s="533"/>
      <c r="F24" s="533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3"/>
      <c r="R24" s="320"/>
    </row>
    <row r="25" spans="1:18" ht="12.75">
      <c r="A25" s="327" t="s">
        <v>2208</v>
      </c>
      <c r="B25" s="438" t="s">
        <v>3526</v>
      </c>
      <c r="C25" s="283" t="s">
        <v>3805</v>
      </c>
      <c r="D25" s="275" t="s">
        <v>3419</v>
      </c>
      <c r="E25" s="276" t="s">
        <v>336</v>
      </c>
      <c r="F25" s="275" t="s">
        <v>125</v>
      </c>
      <c r="G25" s="275" t="s">
        <v>1643</v>
      </c>
      <c r="H25" s="306" t="s">
        <v>132</v>
      </c>
      <c r="I25" s="306" t="s">
        <v>64</v>
      </c>
      <c r="J25" s="306" t="s">
        <v>183</v>
      </c>
      <c r="K25" s="321" t="s">
        <v>3420</v>
      </c>
      <c r="L25" s="321" t="s">
        <v>3391</v>
      </c>
      <c r="M25" s="276" t="s">
        <v>2129</v>
      </c>
      <c r="N25" s="276" t="s">
        <v>3351</v>
      </c>
      <c r="O25" s="321" t="s">
        <v>3391</v>
      </c>
      <c r="P25" s="321" t="s">
        <v>3392</v>
      </c>
      <c r="Q25" s="276" t="s">
        <v>3421</v>
      </c>
      <c r="R25" s="275" t="s">
        <v>1906</v>
      </c>
    </row>
    <row r="27" spans="1:6" ht="18">
      <c r="A27" s="50"/>
      <c r="B27" s="402"/>
      <c r="C27" s="16" t="s">
        <v>370</v>
      </c>
      <c r="D27" s="16"/>
      <c r="E27" s="15"/>
      <c r="F27" s="15"/>
    </row>
    <row r="28" spans="1:6" ht="18">
      <c r="A28" s="50"/>
      <c r="B28" s="402"/>
      <c r="C28" s="16"/>
      <c r="D28" s="16"/>
      <c r="E28" s="15"/>
      <c r="F28" s="15"/>
    </row>
    <row r="29" spans="1:6" ht="18">
      <c r="A29" s="50"/>
      <c r="B29" s="402"/>
      <c r="C29" s="272" t="s">
        <v>3323</v>
      </c>
      <c r="D29" s="15"/>
      <c r="E29" s="15"/>
      <c r="F29" s="15"/>
    </row>
    <row r="30" spans="1:6" ht="12.75">
      <c r="A30" s="50"/>
      <c r="B30" s="402"/>
      <c r="C30" s="15"/>
      <c r="D30" s="15"/>
      <c r="E30" s="15"/>
      <c r="F30" s="15"/>
    </row>
    <row r="31" spans="1:6" ht="13.5">
      <c r="A31" s="50"/>
      <c r="B31" s="402"/>
      <c r="C31" s="26" t="s">
        <v>373</v>
      </c>
      <c r="D31" s="181" t="s">
        <v>374</v>
      </c>
      <c r="E31" s="181" t="s">
        <v>3286</v>
      </c>
      <c r="F31" s="181" t="s">
        <v>377</v>
      </c>
    </row>
    <row r="32" spans="1:6" ht="12.75">
      <c r="A32" s="50" t="s">
        <v>2208</v>
      </c>
      <c r="B32" s="402"/>
      <c r="C32" s="320" t="s">
        <v>3307</v>
      </c>
      <c r="D32" s="49" t="s">
        <v>3189</v>
      </c>
      <c r="E32" s="318" t="s">
        <v>262</v>
      </c>
      <c r="F32" s="318" t="s">
        <v>3415</v>
      </c>
    </row>
    <row r="33" spans="1:6" ht="12.75">
      <c r="A33" s="50" t="s">
        <v>2209</v>
      </c>
      <c r="B33" s="402"/>
      <c r="C33" s="320" t="s">
        <v>3364</v>
      </c>
      <c r="D33" s="49" t="s">
        <v>3189</v>
      </c>
      <c r="E33" s="318" t="s">
        <v>645</v>
      </c>
      <c r="F33" s="318" t="s">
        <v>3394</v>
      </c>
    </row>
    <row r="34" spans="1:6" ht="12.75">
      <c r="A34" s="50" t="s">
        <v>2210</v>
      </c>
      <c r="B34" s="402"/>
      <c r="C34" s="320" t="s">
        <v>3302</v>
      </c>
      <c r="D34" s="49" t="s">
        <v>3189</v>
      </c>
      <c r="E34" s="318" t="s">
        <v>216</v>
      </c>
      <c r="F34" s="318" t="s">
        <v>3408</v>
      </c>
    </row>
    <row r="36" spans="1:6" ht="13.5">
      <c r="A36" s="50"/>
      <c r="B36" s="402"/>
      <c r="C36" s="26" t="s">
        <v>373</v>
      </c>
      <c r="D36" s="181" t="s">
        <v>374</v>
      </c>
      <c r="E36" s="181" t="s">
        <v>3286</v>
      </c>
      <c r="F36" s="181" t="s">
        <v>377</v>
      </c>
    </row>
    <row r="37" spans="1:6" ht="12.75">
      <c r="A37" s="50" t="s">
        <v>2208</v>
      </c>
      <c r="B37" s="402"/>
      <c r="C37" s="320" t="s">
        <v>3307</v>
      </c>
      <c r="D37" s="318" t="s">
        <v>3458</v>
      </c>
      <c r="E37" s="318" t="s">
        <v>262</v>
      </c>
      <c r="F37" s="318" t="s">
        <v>3415</v>
      </c>
    </row>
    <row r="38" spans="1:6" ht="12.75">
      <c r="A38" s="50" t="s">
        <v>2209</v>
      </c>
      <c r="B38" s="402"/>
      <c r="C38" s="320" t="s">
        <v>3399</v>
      </c>
      <c r="D38" s="318" t="s">
        <v>3459</v>
      </c>
      <c r="E38" s="318" t="s">
        <v>640</v>
      </c>
      <c r="F38" s="318" t="s">
        <v>3402</v>
      </c>
    </row>
    <row r="39" spans="1:6" ht="12.75">
      <c r="A39" s="50" t="s">
        <v>2210</v>
      </c>
      <c r="B39" s="402"/>
      <c r="C39" s="320" t="s">
        <v>3418</v>
      </c>
      <c r="D39" s="318" t="s">
        <v>3460</v>
      </c>
      <c r="E39" s="318" t="s">
        <v>336</v>
      </c>
      <c r="F39" s="318" t="s">
        <v>3421</v>
      </c>
    </row>
  </sheetData>
  <sheetProtection/>
  <mergeCells count="21">
    <mergeCell ref="A3:A4"/>
    <mergeCell ref="C3:C4"/>
    <mergeCell ref="E3:E4"/>
    <mergeCell ref="F3:F4"/>
    <mergeCell ref="G3:G4"/>
    <mergeCell ref="B3:B4"/>
    <mergeCell ref="R3:R4"/>
    <mergeCell ref="C9:Q9"/>
    <mergeCell ref="C14:Q14"/>
    <mergeCell ref="C19:Q19"/>
    <mergeCell ref="C1:R1"/>
    <mergeCell ref="C2:R2"/>
    <mergeCell ref="L3:L4"/>
    <mergeCell ref="K3:K4"/>
    <mergeCell ref="C24:Q24"/>
    <mergeCell ref="M3:N3"/>
    <mergeCell ref="O3:O4"/>
    <mergeCell ref="P3:P4"/>
    <mergeCell ref="Q3:Q4"/>
    <mergeCell ref="H3:J3"/>
    <mergeCell ref="C5:Q5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C7" sqref="C7"/>
    </sheetView>
  </sheetViews>
  <sheetFormatPr defaultColWidth="11.375" defaultRowHeight="12.75"/>
  <cols>
    <col min="1" max="1" width="7.875" style="430" customWidth="1"/>
    <col min="2" max="2" width="11.875" style="439" customWidth="1"/>
    <col min="3" max="3" width="22.00390625" style="0" customWidth="1"/>
    <col min="4" max="4" width="24.25390625" style="0" customWidth="1"/>
    <col min="5" max="5" width="16.75390625" style="0" customWidth="1"/>
    <col min="6" max="6" width="11.625" style="0" customWidth="1"/>
    <col min="7" max="7" width="25.75390625" style="0" customWidth="1"/>
    <col min="8" max="8" width="8.375" style="0" customWidth="1"/>
    <col min="9" max="11" width="11.375" style="0" customWidth="1"/>
    <col min="12" max="12" width="14.625" style="0" customWidth="1"/>
  </cols>
  <sheetData>
    <row r="1" spans="1:13" ht="57.75" customHeight="1">
      <c r="A1" s="82"/>
      <c r="B1" s="399"/>
      <c r="C1" s="509" t="s">
        <v>3282</v>
      </c>
      <c r="D1" s="509"/>
      <c r="E1" s="509"/>
      <c r="F1" s="509"/>
      <c r="G1" s="509"/>
      <c r="H1" s="509"/>
      <c r="I1" s="509"/>
      <c r="J1" s="509"/>
      <c r="K1" s="509"/>
      <c r="L1" s="509"/>
      <c r="M1" s="49"/>
    </row>
    <row r="2" spans="1:13" ht="30" thickBot="1">
      <c r="A2" s="82"/>
      <c r="B2" s="399"/>
      <c r="C2" s="509" t="s">
        <v>3283</v>
      </c>
      <c r="D2" s="509"/>
      <c r="E2" s="509"/>
      <c r="F2" s="509"/>
      <c r="G2" s="509"/>
      <c r="H2" s="509"/>
      <c r="I2" s="509"/>
      <c r="J2" s="509"/>
      <c r="K2" s="509"/>
      <c r="L2" s="509"/>
      <c r="M2" s="49"/>
    </row>
    <row r="3" spans="1:13" ht="13.5" customHeight="1">
      <c r="A3" s="512" t="s">
        <v>1627</v>
      </c>
      <c r="B3" s="516" t="s">
        <v>4516</v>
      </c>
      <c r="C3" s="514" t="s">
        <v>0</v>
      </c>
      <c r="D3" s="454" t="s">
        <v>3284</v>
      </c>
      <c r="E3" s="514" t="s">
        <v>3286</v>
      </c>
      <c r="F3" s="514" t="s">
        <v>7</v>
      </c>
      <c r="G3" s="514" t="s">
        <v>3287</v>
      </c>
      <c r="H3" s="514" t="s">
        <v>3288</v>
      </c>
      <c r="I3" s="514"/>
      <c r="J3" s="514" t="s">
        <v>2603</v>
      </c>
      <c r="K3" s="514" t="s">
        <v>6</v>
      </c>
      <c r="L3" s="510" t="s">
        <v>5</v>
      </c>
      <c r="M3" s="184"/>
    </row>
    <row r="4" spans="1:13" ht="15" thickBot="1">
      <c r="A4" s="513"/>
      <c r="B4" s="517"/>
      <c r="C4" s="515"/>
      <c r="D4" s="455" t="s">
        <v>3285</v>
      </c>
      <c r="E4" s="515"/>
      <c r="F4" s="515"/>
      <c r="G4" s="515"/>
      <c r="H4" s="457" t="s">
        <v>2604</v>
      </c>
      <c r="I4" s="457" t="s">
        <v>3289</v>
      </c>
      <c r="J4" s="515"/>
      <c r="K4" s="515"/>
      <c r="L4" s="511"/>
      <c r="M4" s="184"/>
    </row>
    <row r="5" spans="1:13" ht="13.5">
      <c r="A5" s="184"/>
      <c r="B5" s="302"/>
      <c r="C5" s="184"/>
      <c r="D5" s="184"/>
      <c r="E5" s="184"/>
      <c r="F5" s="184"/>
      <c r="G5" s="184"/>
      <c r="H5" s="270"/>
      <c r="I5" s="270"/>
      <c r="J5" s="184"/>
      <c r="K5" s="184"/>
      <c r="L5" s="184"/>
      <c r="M5" s="184"/>
    </row>
    <row r="6" spans="3:12" ht="15.75">
      <c r="C6" s="508" t="s">
        <v>59</v>
      </c>
      <c r="D6" s="508"/>
      <c r="E6" s="508"/>
      <c r="F6" s="508"/>
      <c r="G6" s="508"/>
      <c r="H6" s="508"/>
      <c r="I6" s="508"/>
      <c r="J6" s="508"/>
      <c r="K6" s="508"/>
      <c r="L6" s="15"/>
    </row>
    <row r="7" spans="1:12" ht="12.75">
      <c r="A7" s="97">
        <v>1</v>
      </c>
      <c r="B7" s="434">
        <v>12</v>
      </c>
      <c r="C7" s="20" t="s">
        <v>2668</v>
      </c>
      <c r="D7" s="210" t="s">
        <v>2669</v>
      </c>
      <c r="E7" s="210" t="s">
        <v>824</v>
      </c>
      <c r="F7" s="210" t="s">
        <v>125</v>
      </c>
      <c r="G7" s="210" t="s">
        <v>3290</v>
      </c>
      <c r="H7" s="271" t="s">
        <v>3291</v>
      </c>
      <c r="I7" s="271" t="s">
        <v>3292</v>
      </c>
      <c r="J7" s="271" t="s">
        <v>3293</v>
      </c>
      <c r="K7" s="210" t="s">
        <v>3294</v>
      </c>
      <c r="L7" s="210" t="s">
        <v>3295</v>
      </c>
    </row>
    <row r="8" spans="1:12" ht="12.75">
      <c r="A8" s="97"/>
      <c r="B8" s="434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5.75">
      <c r="A9" s="97"/>
      <c r="B9" s="434"/>
      <c r="C9" s="526" t="s">
        <v>164</v>
      </c>
      <c r="D9" s="526"/>
      <c r="E9" s="526"/>
      <c r="F9" s="526"/>
      <c r="G9" s="526"/>
      <c r="H9" s="526"/>
      <c r="I9" s="526"/>
      <c r="J9" s="526"/>
      <c r="K9" s="526"/>
      <c r="L9" s="15"/>
    </row>
    <row r="10" spans="1:12" ht="12.75">
      <c r="A10" s="97">
        <v>1</v>
      </c>
      <c r="B10" s="434">
        <v>24</v>
      </c>
      <c r="C10" s="83" t="s">
        <v>3853</v>
      </c>
      <c r="D10" s="17" t="s">
        <v>3297</v>
      </c>
      <c r="E10" s="84" t="s">
        <v>3298</v>
      </c>
      <c r="F10" s="17" t="s">
        <v>125</v>
      </c>
      <c r="G10" s="84" t="s">
        <v>143</v>
      </c>
      <c r="H10" s="264" t="s">
        <v>3291</v>
      </c>
      <c r="I10" s="280" t="s">
        <v>3299</v>
      </c>
      <c r="J10" s="264" t="s">
        <v>3300</v>
      </c>
      <c r="K10" s="84" t="s">
        <v>3301</v>
      </c>
      <c r="L10" s="17" t="s">
        <v>1906</v>
      </c>
    </row>
    <row r="11" spans="1:12" ht="12.75">
      <c r="A11" s="97">
        <v>2</v>
      </c>
      <c r="B11" s="434">
        <v>9</v>
      </c>
      <c r="C11" s="94" t="s">
        <v>3302</v>
      </c>
      <c r="D11" s="19" t="s">
        <v>3303</v>
      </c>
      <c r="E11" s="98" t="s">
        <v>216</v>
      </c>
      <c r="F11" s="19" t="s">
        <v>125</v>
      </c>
      <c r="G11" s="98" t="s">
        <v>815</v>
      </c>
      <c r="H11" s="265" t="s">
        <v>3291</v>
      </c>
      <c r="I11" s="281" t="s">
        <v>3304</v>
      </c>
      <c r="J11" s="265" t="s">
        <v>3305</v>
      </c>
      <c r="K11" s="98" t="s">
        <v>3306</v>
      </c>
      <c r="L11" s="19" t="s">
        <v>1906</v>
      </c>
    </row>
    <row r="12" spans="1:12" ht="12.75">
      <c r="A12" s="97"/>
      <c r="B12" s="434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5.75">
      <c r="A13" s="97"/>
      <c r="B13" s="434"/>
      <c r="C13" s="526" t="s">
        <v>227</v>
      </c>
      <c r="D13" s="526"/>
      <c r="E13" s="526"/>
      <c r="F13" s="526"/>
      <c r="G13" s="526"/>
      <c r="H13" s="526"/>
      <c r="I13" s="526"/>
      <c r="J13" s="526"/>
      <c r="K13" s="526"/>
      <c r="L13" s="15"/>
    </row>
    <row r="14" spans="1:12" ht="12.75">
      <c r="A14" s="97">
        <v>1</v>
      </c>
      <c r="B14" s="434">
        <v>24</v>
      </c>
      <c r="C14" s="83" t="s">
        <v>3852</v>
      </c>
      <c r="D14" s="17" t="s">
        <v>2659</v>
      </c>
      <c r="E14" s="84" t="s">
        <v>262</v>
      </c>
      <c r="F14" s="17" t="s">
        <v>125</v>
      </c>
      <c r="G14" s="84" t="s">
        <v>682</v>
      </c>
      <c r="H14" s="264" t="s">
        <v>3291</v>
      </c>
      <c r="I14" s="280" t="s">
        <v>3308</v>
      </c>
      <c r="J14" s="264" t="s">
        <v>3309</v>
      </c>
      <c r="K14" s="84" t="s">
        <v>3310</v>
      </c>
      <c r="L14" s="17" t="s">
        <v>3311</v>
      </c>
    </row>
    <row r="15" spans="1:12" ht="12.75">
      <c r="A15" s="97">
        <v>1</v>
      </c>
      <c r="B15" s="434">
        <v>24</v>
      </c>
      <c r="C15" s="92" t="s">
        <v>3852</v>
      </c>
      <c r="D15" s="18" t="s">
        <v>3312</v>
      </c>
      <c r="E15" s="79" t="s">
        <v>262</v>
      </c>
      <c r="F15" s="18" t="s">
        <v>125</v>
      </c>
      <c r="G15" s="79" t="s">
        <v>682</v>
      </c>
      <c r="H15" s="258" t="s">
        <v>3291</v>
      </c>
      <c r="I15" s="104" t="s">
        <v>3308</v>
      </c>
      <c r="J15" s="258" t="s">
        <v>3309</v>
      </c>
      <c r="K15" s="79" t="s">
        <v>3310</v>
      </c>
      <c r="L15" s="18" t="s">
        <v>3311</v>
      </c>
    </row>
    <row r="16" spans="1:12" ht="12.75">
      <c r="A16" s="97">
        <v>2</v>
      </c>
      <c r="B16" s="434">
        <v>9</v>
      </c>
      <c r="C16" s="94" t="s">
        <v>3313</v>
      </c>
      <c r="D16" s="19" t="s">
        <v>3314</v>
      </c>
      <c r="E16" s="98" t="s">
        <v>3315</v>
      </c>
      <c r="F16" s="19" t="s">
        <v>125</v>
      </c>
      <c r="G16" s="98" t="s">
        <v>3316</v>
      </c>
      <c r="H16" s="265" t="s">
        <v>3291</v>
      </c>
      <c r="I16" s="281" t="s">
        <v>2211</v>
      </c>
      <c r="J16" s="265" t="s">
        <v>3317</v>
      </c>
      <c r="K16" s="98" t="s">
        <v>3318</v>
      </c>
      <c r="L16" s="19" t="s">
        <v>1906</v>
      </c>
    </row>
    <row r="17" spans="1:12" ht="12.75">
      <c r="A17" s="97"/>
      <c r="B17" s="434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5.75">
      <c r="A18" s="97"/>
      <c r="B18" s="434"/>
      <c r="C18" s="508" t="s">
        <v>3319</v>
      </c>
      <c r="D18" s="508"/>
      <c r="E18" s="508"/>
      <c r="F18" s="508"/>
      <c r="G18" s="508"/>
      <c r="H18" s="508"/>
      <c r="I18" s="508"/>
      <c r="J18" s="508"/>
      <c r="K18" s="508"/>
      <c r="L18" s="15"/>
    </row>
    <row r="19" spans="1:12" ht="12.75">
      <c r="A19" s="97">
        <v>1</v>
      </c>
      <c r="B19" s="434">
        <v>12</v>
      </c>
      <c r="C19" s="20" t="s">
        <v>2738</v>
      </c>
      <c r="D19" s="210" t="s">
        <v>2739</v>
      </c>
      <c r="E19" s="210" t="s">
        <v>737</v>
      </c>
      <c r="F19" s="210" t="s">
        <v>125</v>
      </c>
      <c r="G19" s="210" t="s">
        <v>3290</v>
      </c>
      <c r="H19" s="271" t="s">
        <v>3320</v>
      </c>
      <c r="I19" s="271" t="s">
        <v>3321</v>
      </c>
      <c r="J19" s="271" t="s">
        <v>2953</v>
      </c>
      <c r="K19" s="210" t="s">
        <v>3322</v>
      </c>
      <c r="L19" s="210" t="s">
        <v>1906</v>
      </c>
    </row>
    <row r="20" spans="3:12" ht="12.75"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8">
      <c r="A21" s="50"/>
      <c r="B21" s="402"/>
      <c r="C21" s="16" t="s">
        <v>370</v>
      </c>
      <c r="D21" s="16"/>
      <c r="E21" s="15"/>
      <c r="F21" s="15"/>
      <c r="G21" s="15"/>
      <c r="H21" s="15"/>
      <c r="I21" s="15"/>
      <c r="J21" s="15"/>
      <c r="K21" s="15"/>
      <c r="L21" s="15"/>
    </row>
    <row r="22" spans="1:12" ht="18">
      <c r="A22" s="50"/>
      <c r="B22" s="402"/>
      <c r="C22" s="272" t="s">
        <v>3323</v>
      </c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2.75">
      <c r="A23" s="50"/>
      <c r="B23" s="402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3.5">
      <c r="A24" s="50"/>
      <c r="B24" s="402"/>
      <c r="C24" s="26" t="s">
        <v>373</v>
      </c>
      <c r="D24" s="181" t="s">
        <v>374</v>
      </c>
      <c r="E24" s="181" t="s">
        <v>3286</v>
      </c>
      <c r="F24" s="181" t="s">
        <v>377</v>
      </c>
      <c r="G24" s="15"/>
      <c r="H24" s="15"/>
      <c r="I24" s="15"/>
      <c r="J24" s="15"/>
      <c r="K24" s="15"/>
      <c r="L24" s="15"/>
    </row>
    <row r="25" spans="1:12" ht="12.75">
      <c r="A25" s="50" t="s">
        <v>2208</v>
      </c>
      <c r="B25" s="402"/>
      <c r="C25" s="15" t="s">
        <v>3307</v>
      </c>
      <c r="D25" s="49" t="s">
        <v>3189</v>
      </c>
      <c r="E25" s="49" t="s">
        <v>262</v>
      </c>
      <c r="F25" s="49" t="s">
        <v>3310</v>
      </c>
      <c r="G25" s="15"/>
      <c r="H25" s="15"/>
      <c r="I25" s="15"/>
      <c r="J25" s="15"/>
      <c r="K25" s="15"/>
      <c r="L25" s="15"/>
    </row>
    <row r="26" spans="1:12" ht="12.75">
      <c r="A26" s="50" t="s">
        <v>2209</v>
      </c>
      <c r="B26" s="402"/>
      <c r="C26" s="15" t="s">
        <v>3296</v>
      </c>
      <c r="D26" s="49" t="s">
        <v>3189</v>
      </c>
      <c r="E26" s="49" t="s">
        <v>3298</v>
      </c>
      <c r="F26" s="49" t="s">
        <v>3301</v>
      </c>
      <c r="G26" s="15"/>
      <c r="H26" s="15"/>
      <c r="I26" s="15"/>
      <c r="J26" s="15"/>
      <c r="K26" s="15"/>
      <c r="L26" s="15"/>
    </row>
    <row r="27" spans="1:12" ht="12.75">
      <c r="A27" s="50" t="s">
        <v>2210</v>
      </c>
      <c r="B27" s="402"/>
      <c r="C27" s="15" t="s">
        <v>2738</v>
      </c>
      <c r="D27" s="49" t="s">
        <v>3189</v>
      </c>
      <c r="E27" s="49" t="s">
        <v>737</v>
      </c>
      <c r="F27" s="49" t="s">
        <v>3322</v>
      </c>
      <c r="G27" s="15"/>
      <c r="H27" s="15"/>
      <c r="I27" s="15"/>
      <c r="J27" s="15"/>
      <c r="K27" s="15"/>
      <c r="L27" s="15"/>
    </row>
    <row r="28" spans="1:12" ht="12.75">
      <c r="A28" s="50"/>
      <c r="B28" s="402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2.75">
      <c r="A29" s="50"/>
      <c r="B29" s="402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2.75">
      <c r="A30" s="50"/>
      <c r="B30" s="402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2.75">
      <c r="A31" s="50"/>
      <c r="B31" s="402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2.75">
      <c r="A32" s="50"/>
      <c r="B32" s="402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2.75">
      <c r="A33" s="50"/>
      <c r="B33" s="402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2.75">
      <c r="A34" s="50"/>
      <c r="B34" s="402"/>
      <c r="C34" s="15"/>
      <c r="D34" s="15"/>
      <c r="E34" s="15"/>
      <c r="F34" s="15"/>
      <c r="G34" s="15"/>
      <c r="H34" s="15"/>
      <c r="I34" s="15"/>
      <c r="J34" s="15"/>
      <c r="K34" s="15"/>
      <c r="L34" s="15"/>
    </row>
  </sheetData>
  <sheetProtection/>
  <mergeCells count="16">
    <mergeCell ref="L3:L4"/>
    <mergeCell ref="C6:K6"/>
    <mergeCell ref="C9:K9"/>
    <mergeCell ref="C13:K13"/>
    <mergeCell ref="C18:K18"/>
    <mergeCell ref="C1:L1"/>
    <mergeCell ref="C2:L2"/>
    <mergeCell ref="J3:J4"/>
    <mergeCell ref="K3:K4"/>
    <mergeCell ref="A3:A4"/>
    <mergeCell ref="C3:C4"/>
    <mergeCell ref="E3:E4"/>
    <mergeCell ref="F3:F4"/>
    <mergeCell ref="G3:G4"/>
    <mergeCell ref="H3:I3"/>
    <mergeCell ref="B3:B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78"/>
  <sheetViews>
    <sheetView tabSelected="1" workbookViewId="0" topLeftCell="I3">
      <selection activeCell="S33" sqref="S33"/>
    </sheetView>
  </sheetViews>
  <sheetFormatPr defaultColWidth="11.375" defaultRowHeight="12.75"/>
  <cols>
    <col min="1" max="1" width="8.375" style="0" customWidth="1"/>
    <col min="2" max="2" width="11.75390625" style="409" customWidth="1"/>
    <col min="3" max="3" width="28.375" style="0" customWidth="1"/>
    <col min="4" max="4" width="26.00390625" style="0" customWidth="1"/>
    <col min="5" max="5" width="12.00390625" style="0" customWidth="1"/>
    <col min="6" max="6" width="11.375" style="0" customWidth="1"/>
    <col min="7" max="7" width="21.125" style="0" customWidth="1"/>
    <col min="8" max="8" width="33.375" style="0" customWidth="1"/>
    <col min="9" max="10" width="6.125" style="0" customWidth="1"/>
    <col min="11" max="11" width="6.75390625" style="0" customWidth="1"/>
    <col min="12" max="12" width="6.875" style="0" customWidth="1"/>
    <col min="13" max="15" width="6.375" style="0" customWidth="1"/>
    <col min="16" max="16" width="7.625" style="0" customWidth="1"/>
    <col min="17" max="17" width="8.75390625" style="0" customWidth="1"/>
    <col min="18" max="18" width="11.375" style="0" customWidth="1"/>
    <col min="19" max="19" width="18.00390625" style="0" customWidth="1"/>
  </cols>
  <sheetData>
    <row r="1" spans="1:25" ht="57.75" customHeight="1">
      <c r="A1" s="82"/>
      <c r="B1" s="399"/>
      <c r="C1" s="509" t="s">
        <v>4517</v>
      </c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49"/>
      <c r="U1" s="49"/>
      <c r="V1" s="49"/>
      <c r="W1" s="49"/>
      <c r="X1" s="49"/>
      <c r="Y1" s="49"/>
    </row>
    <row r="2" spans="1:25" ht="34.5" customHeight="1" thickBot="1">
      <c r="A2" s="82"/>
      <c r="B2" s="399"/>
      <c r="C2" s="509" t="s">
        <v>2322</v>
      </c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49"/>
      <c r="U2" s="49"/>
      <c r="V2" s="49"/>
      <c r="W2" s="49"/>
      <c r="X2" s="49"/>
      <c r="Y2" s="49"/>
    </row>
    <row r="3" spans="1:25" ht="19.5" customHeight="1">
      <c r="A3" s="512" t="s">
        <v>1627</v>
      </c>
      <c r="B3" s="504" t="s">
        <v>4516</v>
      </c>
      <c r="C3" s="514" t="s">
        <v>0</v>
      </c>
      <c r="D3" s="516" t="s">
        <v>2271</v>
      </c>
      <c r="E3" s="516" t="s">
        <v>1629</v>
      </c>
      <c r="F3" s="514" t="s">
        <v>2272</v>
      </c>
      <c r="G3" s="514" t="s">
        <v>7</v>
      </c>
      <c r="H3" s="514" t="s">
        <v>3275</v>
      </c>
      <c r="I3" s="514" t="s">
        <v>2274</v>
      </c>
      <c r="J3" s="514"/>
      <c r="K3" s="514"/>
      <c r="L3" s="514"/>
      <c r="M3" s="514" t="s">
        <v>2275</v>
      </c>
      <c r="N3" s="514"/>
      <c r="O3" s="514"/>
      <c r="P3" s="514"/>
      <c r="Q3" s="518" t="s">
        <v>4</v>
      </c>
      <c r="R3" s="514" t="s">
        <v>6</v>
      </c>
      <c r="S3" s="510" t="s">
        <v>5</v>
      </c>
      <c r="T3" s="184"/>
      <c r="U3" s="184"/>
      <c r="V3" s="184"/>
      <c r="W3" s="184"/>
      <c r="X3" s="184"/>
      <c r="Y3" s="184"/>
    </row>
    <row r="4" spans="1:25" ht="15" thickBot="1">
      <c r="A4" s="513"/>
      <c r="B4" s="535"/>
      <c r="C4" s="515"/>
      <c r="D4" s="517"/>
      <c r="E4" s="517"/>
      <c r="F4" s="515"/>
      <c r="G4" s="515"/>
      <c r="H4" s="515"/>
      <c r="I4" s="457" t="s">
        <v>2208</v>
      </c>
      <c r="J4" s="457" t="s">
        <v>2209</v>
      </c>
      <c r="K4" s="457" t="s">
        <v>2210</v>
      </c>
      <c r="L4" s="457" t="s">
        <v>8</v>
      </c>
      <c r="M4" s="457" t="s">
        <v>2208</v>
      </c>
      <c r="N4" s="457" t="s">
        <v>2209</v>
      </c>
      <c r="O4" s="457" t="s">
        <v>2210</v>
      </c>
      <c r="P4" s="457" t="s">
        <v>8</v>
      </c>
      <c r="Q4" s="519"/>
      <c r="R4" s="515"/>
      <c r="S4" s="511"/>
      <c r="T4" s="184"/>
      <c r="U4" s="184"/>
      <c r="V4" s="184"/>
      <c r="W4" s="184"/>
      <c r="X4" s="184"/>
      <c r="Y4" s="184"/>
    </row>
    <row r="5" spans="1:19" ht="15.75">
      <c r="A5" s="29"/>
      <c r="B5" s="410"/>
      <c r="C5" s="508" t="s">
        <v>80</v>
      </c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15"/>
    </row>
    <row r="6" spans="1:19" ht="12.75">
      <c r="A6" s="29">
        <v>1</v>
      </c>
      <c r="B6" s="410">
        <v>24</v>
      </c>
      <c r="C6" s="20" t="s">
        <v>3854</v>
      </c>
      <c r="D6" s="210" t="s">
        <v>2323</v>
      </c>
      <c r="E6" s="210" t="s">
        <v>2324</v>
      </c>
      <c r="F6" s="210" t="s">
        <v>2325</v>
      </c>
      <c r="G6" s="210" t="s">
        <v>483</v>
      </c>
      <c r="H6" s="210" t="s">
        <v>484</v>
      </c>
      <c r="I6" s="209" t="s">
        <v>16</v>
      </c>
      <c r="J6" s="136" t="s">
        <v>70</v>
      </c>
      <c r="K6" s="136" t="s">
        <v>70</v>
      </c>
      <c r="L6" s="201"/>
      <c r="M6" s="209" t="s">
        <v>39</v>
      </c>
      <c r="N6" s="136" t="s">
        <v>2191</v>
      </c>
      <c r="O6" s="209" t="s">
        <v>2191</v>
      </c>
      <c r="P6" s="201"/>
      <c r="Q6" s="211">
        <v>72.5</v>
      </c>
      <c r="R6" s="200" t="s">
        <v>2326</v>
      </c>
      <c r="S6" s="210" t="s">
        <v>2004</v>
      </c>
    </row>
    <row r="7" spans="1:19" ht="12.75">
      <c r="A7" s="29"/>
      <c r="B7" s="410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30"/>
      <c r="R7" s="15"/>
      <c r="S7" s="15"/>
    </row>
    <row r="8" spans="1:19" ht="15.75">
      <c r="A8" s="29"/>
      <c r="B8" s="410"/>
      <c r="C8" s="508" t="s">
        <v>80</v>
      </c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15"/>
    </row>
    <row r="9" spans="1:19" ht="12.75">
      <c r="A9" s="29">
        <v>1</v>
      </c>
      <c r="B9" s="410"/>
      <c r="C9" s="20" t="s">
        <v>3855</v>
      </c>
      <c r="D9" s="210" t="s">
        <v>2328</v>
      </c>
      <c r="E9" s="210" t="s">
        <v>2329</v>
      </c>
      <c r="F9" s="210" t="s">
        <v>2330</v>
      </c>
      <c r="G9" s="210" t="s">
        <v>31</v>
      </c>
      <c r="H9" s="210" t="s">
        <v>1262</v>
      </c>
      <c r="I9" s="209" t="s">
        <v>71</v>
      </c>
      <c r="J9" s="136" t="s">
        <v>432</v>
      </c>
      <c r="K9" s="136" t="s">
        <v>432</v>
      </c>
      <c r="L9" s="201"/>
      <c r="M9" s="209" t="s">
        <v>39</v>
      </c>
      <c r="N9" s="209" t="s">
        <v>15</v>
      </c>
      <c r="O9" s="136" t="s">
        <v>16</v>
      </c>
      <c r="P9" s="201"/>
      <c r="Q9" s="211">
        <v>80</v>
      </c>
      <c r="R9" s="200" t="s">
        <v>2331</v>
      </c>
      <c r="S9" s="210" t="s">
        <v>2332</v>
      </c>
    </row>
    <row r="10" spans="1:19" ht="12.75">
      <c r="A10" s="29"/>
      <c r="B10" s="410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30"/>
      <c r="R10" s="15"/>
      <c r="S10" s="15"/>
    </row>
    <row r="11" spans="1:19" ht="15.75">
      <c r="A11" s="29"/>
      <c r="B11" s="410"/>
      <c r="C11" s="508" t="s">
        <v>18</v>
      </c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15"/>
    </row>
    <row r="12" spans="1:19" ht="12.75">
      <c r="A12" s="29">
        <v>1</v>
      </c>
      <c r="B12" s="410">
        <v>24</v>
      </c>
      <c r="C12" s="20" t="s">
        <v>3856</v>
      </c>
      <c r="D12" s="210" t="s">
        <v>2333</v>
      </c>
      <c r="E12" s="210" t="s">
        <v>1650</v>
      </c>
      <c r="F12" s="210" t="s">
        <v>2334</v>
      </c>
      <c r="G12" s="210" t="s">
        <v>2104</v>
      </c>
      <c r="H12" s="210" t="s">
        <v>1903</v>
      </c>
      <c r="I12" s="136" t="s">
        <v>424</v>
      </c>
      <c r="J12" s="136" t="s">
        <v>424</v>
      </c>
      <c r="K12" s="209" t="s">
        <v>424</v>
      </c>
      <c r="L12" s="201"/>
      <c r="M12" s="209" t="s">
        <v>419</v>
      </c>
      <c r="N12" s="209" t="s">
        <v>457</v>
      </c>
      <c r="O12" s="136" t="s">
        <v>1708</v>
      </c>
      <c r="P12" s="201"/>
      <c r="Q12" s="211">
        <v>120</v>
      </c>
      <c r="R12" s="200" t="s">
        <v>2335</v>
      </c>
      <c r="S12" s="210" t="s">
        <v>51</v>
      </c>
    </row>
    <row r="13" spans="1:19" ht="12.75">
      <c r="A13" s="29"/>
      <c r="B13" s="410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30"/>
      <c r="R13" s="15"/>
      <c r="S13" s="15"/>
    </row>
    <row r="14" spans="1:19" ht="15.75">
      <c r="A14" s="29"/>
      <c r="B14" s="410"/>
      <c r="C14" s="508" t="s">
        <v>42</v>
      </c>
      <c r="D14" s="508"/>
      <c r="E14" s="508"/>
      <c r="F14" s="508"/>
      <c r="G14" s="526"/>
      <c r="H14" s="508"/>
      <c r="I14" s="508"/>
      <c r="J14" s="508"/>
      <c r="K14" s="508"/>
      <c r="L14" s="508"/>
      <c r="M14" s="508"/>
      <c r="N14" s="508"/>
      <c r="O14" s="508"/>
      <c r="P14" s="508"/>
      <c r="Q14" s="508"/>
      <c r="R14" s="508"/>
      <c r="S14" s="15"/>
    </row>
    <row r="15" spans="1:19" ht="12.75">
      <c r="A15" s="29">
        <v>1</v>
      </c>
      <c r="B15" s="410"/>
      <c r="C15" s="17" t="s">
        <v>3857</v>
      </c>
      <c r="D15" s="88" t="s">
        <v>2337</v>
      </c>
      <c r="E15" s="88" t="s">
        <v>2338</v>
      </c>
      <c r="F15" s="84" t="s">
        <v>2339</v>
      </c>
      <c r="G15" s="17" t="s">
        <v>31</v>
      </c>
      <c r="H15" s="88" t="s">
        <v>2340</v>
      </c>
      <c r="I15" s="214" t="s">
        <v>94</v>
      </c>
      <c r="J15" s="206" t="s">
        <v>57</v>
      </c>
      <c r="K15" s="206" t="s">
        <v>474</v>
      </c>
      <c r="L15" s="101"/>
      <c r="M15" s="206" t="s">
        <v>57</v>
      </c>
      <c r="N15" s="121" t="s">
        <v>666</v>
      </c>
      <c r="O15" s="206" t="s">
        <v>48</v>
      </c>
      <c r="P15" s="101"/>
      <c r="Q15" s="167">
        <v>165</v>
      </c>
      <c r="R15" s="110" t="s">
        <v>2341</v>
      </c>
      <c r="S15" s="88" t="s">
        <v>51</v>
      </c>
    </row>
    <row r="16" spans="1:19" ht="12.75">
      <c r="A16" s="29">
        <v>2</v>
      </c>
      <c r="B16" s="410"/>
      <c r="C16" s="18" t="s">
        <v>3858</v>
      </c>
      <c r="D16" s="93" t="s">
        <v>1468</v>
      </c>
      <c r="E16" s="93" t="s">
        <v>1749</v>
      </c>
      <c r="F16" s="93" t="s">
        <v>2342</v>
      </c>
      <c r="G16" s="18" t="s">
        <v>31</v>
      </c>
      <c r="H16" s="93" t="s">
        <v>2343</v>
      </c>
      <c r="I16" s="207" t="s">
        <v>666</v>
      </c>
      <c r="J16" s="207" t="s">
        <v>48</v>
      </c>
      <c r="K16" s="103" t="s">
        <v>513</v>
      </c>
      <c r="L16" s="102"/>
      <c r="M16" s="207" t="s">
        <v>93</v>
      </c>
      <c r="N16" s="207" t="s">
        <v>457</v>
      </c>
      <c r="O16" s="103" t="s">
        <v>94</v>
      </c>
      <c r="P16" s="102"/>
      <c r="Q16" s="212">
        <v>137.5</v>
      </c>
      <c r="R16" s="193" t="s">
        <v>2344</v>
      </c>
      <c r="S16" s="93" t="s">
        <v>2345</v>
      </c>
    </row>
    <row r="17" spans="1:19" ht="12.75">
      <c r="A17" s="29">
        <v>3</v>
      </c>
      <c r="B17" s="410">
        <v>20</v>
      </c>
      <c r="C17" s="18" t="s">
        <v>3859</v>
      </c>
      <c r="D17" s="93" t="s">
        <v>2347</v>
      </c>
      <c r="E17" s="93" t="s">
        <v>1780</v>
      </c>
      <c r="F17" s="93" t="s">
        <v>2277</v>
      </c>
      <c r="G17" s="18" t="s">
        <v>2348</v>
      </c>
      <c r="H17" s="93" t="s">
        <v>267</v>
      </c>
      <c r="I17" s="207" t="s">
        <v>95</v>
      </c>
      <c r="J17" s="207" t="s">
        <v>666</v>
      </c>
      <c r="K17" s="103" t="s">
        <v>48</v>
      </c>
      <c r="L17" s="102"/>
      <c r="M17" s="207" t="s">
        <v>71</v>
      </c>
      <c r="N17" s="207" t="s">
        <v>432</v>
      </c>
      <c r="O17" s="207" t="s">
        <v>419</v>
      </c>
      <c r="P17" s="102"/>
      <c r="Q17" s="212">
        <v>130</v>
      </c>
      <c r="R17" s="193" t="s">
        <v>2349</v>
      </c>
      <c r="S17" s="93" t="s">
        <v>51</v>
      </c>
    </row>
    <row r="18" spans="1:19" ht="12.75">
      <c r="A18" s="29">
        <v>1</v>
      </c>
      <c r="B18" s="410"/>
      <c r="C18" s="18" t="s">
        <v>3860</v>
      </c>
      <c r="D18" s="93" t="s">
        <v>2351</v>
      </c>
      <c r="E18" s="93" t="s">
        <v>1654</v>
      </c>
      <c r="F18" s="93" t="s">
        <v>2352</v>
      </c>
      <c r="G18" s="18" t="s">
        <v>31</v>
      </c>
      <c r="H18" s="93" t="s">
        <v>2353</v>
      </c>
      <c r="I18" s="207" t="s">
        <v>49</v>
      </c>
      <c r="J18" s="207" t="s">
        <v>33</v>
      </c>
      <c r="K18" s="103" t="s">
        <v>451</v>
      </c>
      <c r="L18" s="102"/>
      <c r="M18" s="207" t="s">
        <v>457</v>
      </c>
      <c r="N18" s="207" t="s">
        <v>424</v>
      </c>
      <c r="O18" s="207" t="s">
        <v>95</v>
      </c>
      <c r="P18" s="102"/>
      <c r="Q18" s="212">
        <v>160</v>
      </c>
      <c r="R18" s="193" t="s">
        <v>2354</v>
      </c>
      <c r="S18" s="93" t="s">
        <v>51</v>
      </c>
    </row>
    <row r="19" spans="1:19" ht="12.75">
      <c r="A19" s="29"/>
      <c r="B19" s="410"/>
      <c r="C19" s="19" t="s">
        <v>2355</v>
      </c>
      <c r="D19" s="95" t="s">
        <v>2356</v>
      </c>
      <c r="E19" s="95" t="s">
        <v>2357</v>
      </c>
      <c r="F19" s="95" t="s">
        <v>2358</v>
      </c>
      <c r="G19" s="19" t="s">
        <v>31</v>
      </c>
      <c r="H19" s="95" t="s">
        <v>2359</v>
      </c>
      <c r="I19" s="112" t="s">
        <v>95</v>
      </c>
      <c r="J19" s="208" t="s">
        <v>95</v>
      </c>
      <c r="K19" s="112" t="s">
        <v>416</v>
      </c>
      <c r="L19" s="109"/>
      <c r="M19" s="112" t="s">
        <v>94</v>
      </c>
      <c r="N19" s="112" t="s">
        <v>95</v>
      </c>
      <c r="O19" s="112" t="s">
        <v>95</v>
      </c>
      <c r="P19" s="109"/>
      <c r="Q19" s="213">
        <v>0</v>
      </c>
      <c r="R19" s="111" t="s">
        <v>2438</v>
      </c>
      <c r="S19" s="95" t="s">
        <v>51</v>
      </c>
    </row>
    <row r="20" spans="1:19" ht="12.75">
      <c r="A20" s="29"/>
      <c r="B20" s="4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30"/>
      <c r="R20" s="15"/>
      <c r="S20" s="15"/>
    </row>
    <row r="21" spans="1:19" ht="15.75">
      <c r="A21" s="29"/>
      <c r="B21" s="410"/>
      <c r="C21" s="508" t="s">
        <v>116</v>
      </c>
      <c r="D21" s="508"/>
      <c r="E21" s="508"/>
      <c r="F21" s="508"/>
      <c r="G21" s="508"/>
      <c r="H21" s="508"/>
      <c r="I21" s="526"/>
      <c r="J21" s="526"/>
      <c r="K21" s="526"/>
      <c r="L21" s="526"/>
      <c r="M21" s="526"/>
      <c r="N21" s="526"/>
      <c r="O21" s="526"/>
      <c r="P21" s="508"/>
      <c r="Q21" s="508"/>
      <c r="R21" s="508"/>
      <c r="S21" s="15"/>
    </row>
    <row r="22" spans="1:19" ht="12.75">
      <c r="A22" s="29">
        <v>1</v>
      </c>
      <c r="B22" s="410"/>
      <c r="C22" s="17" t="s">
        <v>3822</v>
      </c>
      <c r="D22" s="88" t="s">
        <v>2361</v>
      </c>
      <c r="E22" s="88" t="s">
        <v>2362</v>
      </c>
      <c r="F22" s="88" t="s">
        <v>2363</v>
      </c>
      <c r="G22" s="88" t="s">
        <v>31</v>
      </c>
      <c r="H22" s="84" t="s">
        <v>692</v>
      </c>
      <c r="I22" s="243" t="s">
        <v>57</v>
      </c>
      <c r="J22" s="219" t="s">
        <v>48</v>
      </c>
      <c r="K22" s="244" t="s">
        <v>474</v>
      </c>
      <c r="L22" s="36"/>
      <c r="M22" s="244" t="s">
        <v>432</v>
      </c>
      <c r="N22" s="219" t="s">
        <v>93</v>
      </c>
      <c r="O22" s="121" t="s">
        <v>94</v>
      </c>
      <c r="P22" s="101"/>
      <c r="Q22" s="167">
        <v>140</v>
      </c>
      <c r="R22" s="110" t="s">
        <v>2364</v>
      </c>
      <c r="S22" s="88" t="s">
        <v>2365</v>
      </c>
    </row>
    <row r="23" spans="1:19" ht="12.75">
      <c r="A23" s="29">
        <v>2</v>
      </c>
      <c r="B23" s="410">
        <v>9</v>
      </c>
      <c r="C23" s="18" t="s">
        <v>3861</v>
      </c>
      <c r="D23" s="93" t="s">
        <v>2366</v>
      </c>
      <c r="E23" s="93" t="s">
        <v>1716</v>
      </c>
      <c r="F23" s="93" t="s">
        <v>2367</v>
      </c>
      <c r="G23" s="93" t="s">
        <v>14</v>
      </c>
      <c r="H23" s="79" t="s">
        <v>189</v>
      </c>
      <c r="I23" s="245" t="s">
        <v>15</v>
      </c>
      <c r="J23" s="248" t="s">
        <v>16</v>
      </c>
      <c r="K23" s="242" t="s">
        <v>71</v>
      </c>
      <c r="L23" s="39"/>
      <c r="M23" s="242" t="s">
        <v>39</v>
      </c>
      <c r="N23" s="248" t="s">
        <v>15</v>
      </c>
      <c r="O23" s="207" t="s">
        <v>16</v>
      </c>
      <c r="P23" s="102"/>
      <c r="Q23" s="212">
        <v>85</v>
      </c>
      <c r="R23" s="193" t="s">
        <v>2368</v>
      </c>
      <c r="S23" s="93" t="s">
        <v>51</v>
      </c>
    </row>
    <row r="24" spans="1:19" ht="12.75">
      <c r="A24" s="567" t="s">
        <v>4724</v>
      </c>
      <c r="B24" s="410"/>
      <c r="C24" s="18" t="s">
        <v>4726</v>
      </c>
      <c r="D24" s="93" t="s">
        <v>4725</v>
      </c>
      <c r="E24" s="93" t="s">
        <v>1658</v>
      </c>
      <c r="F24" s="93" t="s">
        <v>3174</v>
      </c>
      <c r="G24" s="93" t="s">
        <v>2115</v>
      </c>
      <c r="H24" s="79" t="s">
        <v>1903</v>
      </c>
      <c r="I24" s="245" t="s">
        <v>95</v>
      </c>
      <c r="J24" s="248" t="s">
        <v>57</v>
      </c>
      <c r="K24" s="242" t="s">
        <v>48</v>
      </c>
      <c r="L24" s="39"/>
      <c r="M24" s="242" t="s">
        <v>93</v>
      </c>
      <c r="N24" s="248" t="s">
        <v>424</v>
      </c>
      <c r="O24" s="103" t="s">
        <v>95</v>
      </c>
      <c r="P24" s="102"/>
      <c r="Q24" s="212">
        <v>142.5</v>
      </c>
      <c r="R24" s="193" t="s">
        <v>4727</v>
      </c>
      <c r="S24" s="93" t="s">
        <v>51</v>
      </c>
    </row>
    <row r="25" spans="1:19" ht="12.75">
      <c r="A25" s="29">
        <v>1</v>
      </c>
      <c r="B25" s="410"/>
      <c r="C25" s="18" t="s">
        <v>3862</v>
      </c>
      <c r="D25" s="93" t="s">
        <v>2370</v>
      </c>
      <c r="E25" s="93" t="s">
        <v>1633</v>
      </c>
      <c r="F25" s="93" t="s">
        <v>2371</v>
      </c>
      <c r="G25" s="93" t="s">
        <v>31</v>
      </c>
      <c r="H25" s="79" t="s">
        <v>2372</v>
      </c>
      <c r="I25" s="245" t="s">
        <v>474</v>
      </c>
      <c r="J25" s="248" t="s">
        <v>49</v>
      </c>
      <c r="K25" s="242" t="s">
        <v>495</v>
      </c>
      <c r="L25" s="39"/>
      <c r="M25" s="242" t="s">
        <v>95</v>
      </c>
      <c r="N25" s="248" t="s">
        <v>416</v>
      </c>
      <c r="O25" s="103" t="s">
        <v>56</v>
      </c>
      <c r="P25" s="102"/>
      <c r="Q25" s="212">
        <v>162.5</v>
      </c>
      <c r="R25" s="193" t="s">
        <v>2373</v>
      </c>
      <c r="S25" s="93" t="s">
        <v>51</v>
      </c>
    </row>
    <row r="26" spans="1:19" ht="12.75">
      <c r="A26" s="29">
        <v>2</v>
      </c>
      <c r="B26" s="410">
        <v>21</v>
      </c>
      <c r="C26" s="18" t="s">
        <v>3863</v>
      </c>
      <c r="D26" s="93" t="s">
        <v>2374</v>
      </c>
      <c r="E26" s="93" t="s">
        <v>2375</v>
      </c>
      <c r="F26" s="93" t="s">
        <v>2376</v>
      </c>
      <c r="G26" s="93" t="s">
        <v>54</v>
      </c>
      <c r="H26" s="79" t="s">
        <v>2377</v>
      </c>
      <c r="I26" s="245" t="s">
        <v>57</v>
      </c>
      <c r="J26" s="248" t="s">
        <v>666</v>
      </c>
      <c r="K26" s="80" t="s">
        <v>48</v>
      </c>
      <c r="L26" s="39"/>
      <c r="M26" s="242" t="s">
        <v>55</v>
      </c>
      <c r="N26" s="248" t="s">
        <v>56</v>
      </c>
      <c r="O26" s="103" t="s">
        <v>57</v>
      </c>
      <c r="P26" s="102"/>
      <c r="Q26" s="212">
        <v>150</v>
      </c>
      <c r="R26" s="193" t="s">
        <v>2378</v>
      </c>
      <c r="S26" s="93" t="s">
        <v>2379</v>
      </c>
    </row>
    <row r="27" spans="1:19" ht="12.75">
      <c r="A27" s="29">
        <v>3</v>
      </c>
      <c r="B27" s="410"/>
      <c r="C27" s="18" t="s">
        <v>3864</v>
      </c>
      <c r="D27" s="93" t="s">
        <v>2380</v>
      </c>
      <c r="E27" s="93" t="s">
        <v>2381</v>
      </c>
      <c r="F27" s="93" t="s">
        <v>2382</v>
      </c>
      <c r="G27" s="93" t="s">
        <v>31</v>
      </c>
      <c r="H27" s="79" t="s">
        <v>1903</v>
      </c>
      <c r="I27" s="245" t="s">
        <v>416</v>
      </c>
      <c r="J27" s="248" t="s">
        <v>57</v>
      </c>
      <c r="K27" s="80" t="s">
        <v>666</v>
      </c>
      <c r="L27" s="39"/>
      <c r="M27" s="242" t="s">
        <v>419</v>
      </c>
      <c r="N27" s="248" t="s">
        <v>457</v>
      </c>
      <c r="O27" s="207" t="s">
        <v>94</v>
      </c>
      <c r="P27" s="102"/>
      <c r="Q27" s="212">
        <v>135</v>
      </c>
      <c r="R27" s="193" t="s">
        <v>2383</v>
      </c>
      <c r="S27" s="93" t="s">
        <v>51</v>
      </c>
    </row>
    <row r="28" spans="1:19" ht="12.75">
      <c r="A28" s="29">
        <v>4</v>
      </c>
      <c r="B28" s="410"/>
      <c r="C28" s="18" t="s">
        <v>3865</v>
      </c>
      <c r="D28" s="93" t="s">
        <v>81</v>
      </c>
      <c r="E28" s="93" t="s">
        <v>2384</v>
      </c>
      <c r="F28" s="93" t="s">
        <v>2385</v>
      </c>
      <c r="G28" s="93" t="s">
        <v>31</v>
      </c>
      <c r="H28" s="79" t="s">
        <v>302</v>
      </c>
      <c r="I28" s="245" t="s">
        <v>416</v>
      </c>
      <c r="J28" s="248" t="s">
        <v>57</v>
      </c>
      <c r="K28" s="242" t="s">
        <v>666</v>
      </c>
      <c r="L28" s="39"/>
      <c r="M28" s="242" t="s">
        <v>432</v>
      </c>
      <c r="N28" s="248" t="s">
        <v>93</v>
      </c>
      <c r="O28" s="103" t="s">
        <v>94</v>
      </c>
      <c r="P28" s="102"/>
      <c r="Q28" s="212">
        <v>132.5</v>
      </c>
      <c r="R28" s="193" t="s">
        <v>2386</v>
      </c>
      <c r="S28" s="93" t="s">
        <v>2387</v>
      </c>
    </row>
    <row r="29" spans="1:19" ht="12.75">
      <c r="A29" s="29">
        <v>5</v>
      </c>
      <c r="B29" s="410">
        <v>6</v>
      </c>
      <c r="C29" s="18" t="s">
        <v>3866</v>
      </c>
      <c r="D29" s="93" t="s">
        <v>2388</v>
      </c>
      <c r="E29" s="93" t="s">
        <v>48</v>
      </c>
      <c r="F29" s="93" t="s">
        <v>2389</v>
      </c>
      <c r="G29" s="93" t="s">
        <v>54</v>
      </c>
      <c r="H29" s="79" t="s">
        <v>2377</v>
      </c>
      <c r="I29" s="245" t="s">
        <v>95</v>
      </c>
      <c r="J29" s="248" t="s">
        <v>55</v>
      </c>
      <c r="K29" s="80" t="s">
        <v>416</v>
      </c>
      <c r="L29" s="39"/>
      <c r="M29" s="242" t="s">
        <v>93</v>
      </c>
      <c r="N29" s="248" t="s">
        <v>457</v>
      </c>
      <c r="O29" s="207" t="s">
        <v>94</v>
      </c>
      <c r="P29" s="102"/>
      <c r="Q29" s="212">
        <v>127.5</v>
      </c>
      <c r="R29" s="193" t="s">
        <v>2390</v>
      </c>
      <c r="S29" s="93" t="s">
        <v>51</v>
      </c>
    </row>
    <row r="30" spans="1:19" ht="12.75">
      <c r="A30" s="29">
        <v>6</v>
      </c>
      <c r="B30" s="410">
        <v>5</v>
      </c>
      <c r="C30" s="18" t="s">
        <v>3867</v>
      </c>
      <c r="D30" s="93" t="s">
        <v>1112</v>
      </c>
      <c r="E30" s="93" t="s">
        <v>1692</v>
      </c>
      <c r="F30" s="93" t="s">
        <v>2391</v>
      </c>
      <c r="G30" s="93" t="s">
        <v>483</v>
      </c>
      <c r="H30" s="79" t="s">
        <v>484</v>
      </c>
      <c r="I30" s="245" t="s">
        <v>95</v>
      </c>
      <c r="J30" s="248" t="s">
        <v>416</v>
      </c>
      <c r="K30" s="80" t="s">
        <v>56</v>
      </c>
      <c r="L30" s="39"/>
      <c r="M30" s="242" t="s">
        <v>432</v>
      </c>
      <c r="N30" s="248" t="s">
        <v>93</v>
      </c>
      <c r="O30" s="207" t="s">
        <v>457</v>
      </c>
      <c r="P30" s="102"/>
      <c r="Q30" s="212">
        <v>127.5</v>
      </c>
      <c r="R30" s="193" t="s">
        <v>2392</v>
      </c>
      <c r="S30" s="93" t="s">
        <v>51</v>
      </c>
    </row>
    <row r="31" spans="1:19" ht="12.75">
      <c r="A31" s="29">
        <v>7</v>
      </c>
      <c r="B31" s="410">
        <v>4</v>
      </c>
      <c r="C31" s="18" t="s">
        <v>3868</v>
      </c>
      <c r="D31" s="93" t="s">
        <v>1115</v>
      </c>
      <c r="E31" s="93" t="s">
        <v>1788</v>
      </c>
      <c r="F31" s="93" t="s">
        <v>2393</v>
      </c>
      <c r="G31" s="93" t="s">
        <v>130</v>
      </c>
      <c r="H31" s="79" t="s">
        <v>149</v>
      </c>
      <c r="I31" s="245" t="s">
        <v>421</v>
      </c>
      <c r="J31" s="248" t="s">
        <v>457</v>
      </c>
      <c r="K31" s="242" t="s">
        <v>95</v>
      </c>
      <c r="L31" s="39"/>
      <c r="M31" s="242" t="s">
        <v>71</v>
      </c>
      <c r="N31" s="248" t="s">
        <v>432</v>
      </c>
      <c r="O31" s="207" t="s">
        <v>457</v>
      </c>
      <c r="P31" s="102"/>
      <c r="Q31" s="212">
        <v>122.5</v>
      </c>
      <c r="R31" s="193" t="s">
        <v>2394</v>
      </c>
      <c r="S31" s="93" t="s">
        <v>1835</v>
      </c>
    </row>
    <row r="32" spans="1:19" ht="12.75">
      <c r="A32" s="29"/>
      <c r="B32" s="410"/>
      <c r="C32" s="18" t="s">
        <v>3172</v>
      </c>
      <c r="D32" s="93" t="s">
        <v>3173</v>
      </c>
      <c r="E32" s="93" t="s">
        <v>1658</v>
      </c>
      <c r="F32" s="93" t="s">
        <v>3174</v>
      </c>
      <c r="G32" s="93" t="s">
        <v>2115</v>
      </c>
      <c r="H32" s="79" t="s">
        <v>1903</v>
      </c>
      <c r="I32" s="127" t="s">
        <v>94</v>
      </c>
      <c r="J32" s="47" t="s">
        <v>95</v>
      </c>
      <c r="K32" s="80"/>
      <c r="L32" s="39"/>
      <c r="M32" s="80"/>
      <c r="N32" s="47"/>
      <c r="O32" s="103"/>
      <c r="P32" s="102"/>
      <c r="Q32" s="212">
        <v>0</v>
      </c>
      <c r="R32" s="193" t="s">
        <v>1639</v>
      </c>
      <c r="S32" s="93" t="s">
        <v>51</v>
      </c>
    </row>
    <row r="33" spans="1:19" ht="12.75">
      <c r="A33" s="29">
        <v>1</v>
      </c>
      <c r="B33" s="410">
        <v>12</v>
      </c>
      <c r="C33" s="19" t="s">
        <v>3867</v>
      </c>
      <c r="D33" s="95" t="s">
        <v>2395</v>
      </c>
      <c r="E33" s="95" t="s">
        <v>1692</v>
      </c>
      <c r="F33" s="95" t="s">
        <v>2391</v>
      </c>
      <c r="G33" s="95" t="s">
        <v>483</v>
      </c>
      <c r="H33" s="98" t="s">
        <v>484</v>
      </c>
      <c r="I33" s="246" t="s">
        <v>95</v>
      </c>
      <c r="J33" s="249" t="s">
        <v>416</v>
      </c>
      <c r="K33" s="153" t="s">
        <v>56</v>
      </c>
      <c r="L33" s="42"/>
      <c r="M33" s="247" t="s">
        <v>432</v>
      </c>
      <c r="N33" s="249" t="s">
        <v>93</v>
      </c>
      <c r="O33" s="208" t="s">
        <v>457</v>
      </c>
      <c r="P33" s="109"/>
      <c r="Q33" s="168">
        <v>127.5</v>
      </c>
      <c r="R33" s="111" t="s">
        <v>2396</v>
      </c>
      <c r="S33" s="95" t="s">
        <v>51</v>
      </c>
    </row>
    <row r="34" spans="1:19" ht="12.75">
      <c r="A34" s="29"/>
      <c r="B34" s="410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30"/>
      <c r="R34" s="15"/>
      <c r="S34" s="15"/>
    </row>
    <row r="35" spans="1:19" ht="15.75">
      <c r="A35" s="29"/>
      <c r="B35" s="410"/>
      <c r="C35" s="508" t="s">
        <v>59</v>
      </c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08"/>
      <c r="S35" s="15"/>
    </row>
    <row r="36" spans="1:19" ht="12.75">
      <c r="A36" s="29">
        <v>1</v>
      </c>
      <c r="B36" s="410">
        <v>12</v>
      </c>
      <c r="C36" s="17" t="s">
        <v>3869</v>
      </c>
      <c r="D36" s="88" t="s">
        <v>2397</v>
      </c>
      <c r="E36" s="88" t="s">
        <v>2398</v>
      </c>
      <c r="F36" s="88" t="s">
        <v>2399</v>
      </c>
      <c r="G36" s="88" t="s">
        <v>2400</v>
      </c>
      <c r="H36" s="88" t="s">
        <v>573</v>
      </c>
      <c r="I36" s="206" t="s">
        <v>93</v>
      </c>
      <c r="J36" s="206" t="s">
        <v>424</v>
      </c>
      <c r="K36" s="206" t="s">
        <v>95</v>
      </c>
      <c r="L36" s="101"/>
      <c r="M36" s="206" t="s">
        <v>432</v>
      </c>
      <c r="N36" s="206" t="s">
        <v>94</v>
      </c>
      <c r="O36" s="121" t="s">
        <v>95</v>
      </c>
      <c r="P36" s="101"/>
      <c r="Q36" s="167">
        <v>125</v>
      </c>
      <c r="R36" s="110" t="s">
        <v>2401</v>
      </c>
      <c r="S36" s="88" t="s">
        <v>1837</v>
      </c>
    </row>
    <row r="37" spans="1:19" ht="12.75">
      <c r="A37" s="29">
        <v>1</v>
      </c>
      <c r="B37" s="410"/>
      <c r="C37" s="18" t="s">
        <v>3870</v>
      </c>
      <c r="D37" s="93" t="s">
        <v>156</v>
      </c>
      <c r="E37" s="93" t="s">
        <v>1677</v>
      </c>
      <c r="F37" s="93" t="s">
        <v>2295</v>
      </c>
      <c r="G37" s="93" t="s">
        <v>31</v>
      </c>
      <c r="H37" s="93" t="s">
        <v>1675</v>
      </c>
      <c r="I37" s="207" t="s">
        <v>303</v>
      </c>
      <c r="J37" s="207" t="s">
        <v>25</v>
      </c>
      <c r="K37" s="207" t="s">
        <v>446</v>
      </c>
      <c r="L37" s="102"/>
      <c r="M37" s="207" t="s">
        <v>457</v>
      </c>
      <c r="N37" s="207" t="s">
        <v>424</v>
      </c>
      <c r="O37" s="207" t="s">
        <v>55</v>
      </c>
      <c r="P37" s="102"/>
      <c r="Q37" s="212">
        <v>182.5</v>
      </c>
      <c r="R37" s="193" t="s">
        <v>2297</v>
      </c>
      <c r="S37" s="93" t="s">
        <v>158</v>
      </c>
    </row>
    <row r="38" spans="1:19" ht="12.75">
      <c r="A38" s="29">
        <v>2</v>
      </c>
      <c r="B38" s="410">
        <v>9</v>
      </c>
      <c r="C38" s="18" t="s">
        <v>3871</v>
      </c>
      <c r="D38" s="93" t="s">
        <v>2403</v>
      </c>
      <c r="E38" s="93" t="s">
        <v>1901</v>
      </c>
      <c r="F38" s="93" t="s">
        <v>2404</v>
      </c>
      <c r="G38" s="93" t="s">
        <v>54</v>
      </c>
      <c r="H38" s="93" t="s">
        <v>1695</v>
      </c>
      <c r="I38" s="207" t="s">
        <v>49</v>
      </c>
      <c r="J38" s="103" t="s">
        <v>33</v>
      </c>
      <c r="K38" s="207" t="s">
        <v>33</v>
      </c>
      <c r="L38" s="102"/>
      <c r="M38" s="207" t="s">
        <v>93</v>
      </c>
      <c r="N38" s="103" t="s">
        <v>94</v>
      </c>
      <c r="O38" s="103" t="s">
        <v>95</v>
      </c>
      <c r="P38" s="102"/>
      <c r="Q38" s="212">
        <v>150</v>
      </c>
      <c r="R38" s="193" t="s">
        <v>2405</v>
      </c>
      <c r="S38" s="93" t="s">
        <v>51</v>
      </c>
    </row>
    <row r="39" spans="1:19" ht="12.75">
      <c r="A39" s="29">
        <v>3</v>
      </c>
      <c r="B39" s="410"/>
      <c r="C39" s="18" t="s">
        <v>3872</v>
      </c>
      <c r="D39" s="93" t="s">
        <v>2407</v>
      </c>
      <c r="E39" s="93" t="s">
        <v>1898</v>
      </c>
      <c r="F39" s="93" t="s">
        <v>2408</v>
      </c>
      <c r="G39" s="93" t="s">
        <v>31</v>
      </c>
      <c r="H39" s="93" t="s">
        <v>2409</v>
      </c>
      <c r="I39" s="207" t="s">
        <v>48</v>
      </c>
      <c r="J39" s="207" t="s">
        <v>474</v>
      </c>
      <c r="K39" s="207" t="s">
        <v>49</v>
      </c>
      <c r="L39" s="102"/>
      <c r="M39" s="207" t="s">
        <v>432</v>
      </c>
      <c r="N39" s="103" t="s">
        <v>94</v>
      </c>
      <c r="O39" s="207" t="s">
        <v>94</v>
      </c>
      <c r="P39" s="102"/>
      <c r="Q39" s="212">
        <v>150</v>
      </c>
      <c r="R39" s="193" t="s">
        <v>2410</v>
      </c>
      <c r="S39" s="93" t="s">
        <v>1674</v>
      </c>
    </row>
    <row r="40" spans="1:19" ht="12.75">
      <c r="A40" s="29">
        <v>4</v>
      </c>
      <c r="B40" s="410">
        <v>7</v>
      </c>
      <c r="C40" s="18" t="s">
        <v>3873</v>
      </c>
      <c r="D40" s="93" t="s">
        <v>1127</v>
      </c>
      <c r="E40" s="93" t="s">
        <v>2411</v>
      </c>
      <c r="F40" s="93" t="s">
        <v>2412</v>
      </c>
      <c r="G40" s="93" t="s">
        <v>483</v>
      </c>
      <c r="H40" s="93" t="s">
        <v>484</v>
      </c>
      <c r="I40" s="103" t="s">
        <v>57</v>
      </c>
      <c r="J40" s="207" t="s">
        <v>57</v>
      </c>
      <c r="K40" s="103" t="s">
        <v>666</v>
      </c>
      <c r="L40" s="102"/>
      <c r="M40" s="207" t="s">
        <v>432</v>
      </c>
      <c r="N40" s="207" t="s">
        <v>93</v>
      </c>
      <c r="O40" s="103" t="s">
        <v>457</v>
      </c>
      <c r="P40" s="102"/>
      <c r="Q40" s="212">
        <v>130</v>
      </c>
      <c r="R40" s="193" t="s">
        <v>2413</v>
      </c>
      <c r="S40" s="93" t="s">
        <v>2004</v>
      </c>
    </row>
    <row r="41" spans="1:19" ht="12.75">
      <c r="A41" s="29">
        <v>1</v>
      </c>
      <c r="B41" s="410"/>
      <c r="C41" s="19" t="s">
        <v>3872</v>
      </c>
      <c r="D41" s="95" t="s">
        <v>2414</v>
      </c>
      <c r="E41" s="95" t="s">
        <v>1898</v>
      </c>
      <c r="F41" s="95" t="s">
        <v>2408</v>
      </c>
      <c r="G41" s="95" t="s">
        <v>31</v>
      </c>
      <c r="H41" s="95" t="s">
        <v>2409</v>
      </c>
      <c r="I41" s="208" t="s">
        <v>48</v>
      </c>
      <c r="J41" s="208" t="s">
        <v>474</v>
      </c>
      <c r="K41" s="208" t="s">
        <v>49</v>
      </c>
      <c r="L41" s="109"/>
      <c r="M41" s="208" t="s">
        <v>432</v>
      </c>
      <c r="N41" s="112" t="s">
        <v>94</v>
      </c>
      <c r="O41" s="208" t="s">
        <v>94</v>
      </c>
      <c r="P41" s="109"/>
      <c r="Q41" s="168">
        <v>150</v>
      </c>
      <c r="R41" s="111" t="s">
        <v>2415</v>
      </c>
      <c r="S41" s="95" t="s">
        <v>1674</v>
      </c>
    </row>
    <row r="42" spans="1:19" ht="12.75">
      <c r="A42" s="29"/>
      <c r="B42" s="4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30"/>
      <c r="R42" s="15"/>
      <c r="S42" s="15"/>
    </row>
    <row r="43" spans="1:19" ht="15.75">
      <c r="A43" s="29"/>
      <c r="B43" s="410"/>
      <c r="C43" s="508" t="s">
        <v>164</v>
      </c>
      <c r="D43" s="508"/>
      <c r="E43" s="508"/>
      <c r="F43" s="508"/>
      <c r="G43" s="508"/>
      <c r="H43" s="508"/>
      <c r="I43" s="508"/>
      <c r="J43" s="508"/>
      <c r="K43" s="508"/>
      <c r="L43" s="508"/>
      <c r="M43" s="508"/>
      <c r="N43" s="508"/>
      <c r="O43" s="508"/>
      <c r="P43" s="508"/>
      <c r="Q43" s="508"/>
      <c r="R43" s="508"/>
      <c r="S43" s="15"/>
    </row>
    <row r="44" spans="1:19" ht="12.75">
      <c r="A44" s="29">
        <v>1</v>
      </c>
      <c r="B44" s="410"/>
      <c r="C44" s="17" t="s">
        <v>3874</v>
      </c>
      <c r="D44" s="88" t="s">
        <v>2416</v>
      </c>
      <c r="E44" s="88" t="s">
        <v>2417</v>
      </c>
      <c r="F44" s="88" t="s">
        <v>2418</v>
      </c>
      <c r="G44" s="88" t="s">
        <v>31</v>
      </c>
      <c r="H44" s="88" t="s">
        <v>2419</v>
      </c>
      <c r="I44" s="206" t="s">
        <v>49</v>
      </c>
      <c r="J44" s="206" t="s">
        <v>33</v>
      </c>
      <c r="K44" s="121" t="s">
        <v>451</v>
      </c>
      <c r="L44" s="101"/>
      <c r="M44" s="121" t="s">
        <v>94</v>
      </c>
      <c r="N44" s="206" t="s">
        <v>94</v>
      </c>
      <c r="O44" s="121" t="s">
        <v>424</v>
      </c>
      <c r="P44" s="101"/>
      <c r="Q44" s="167">
        <v>155</v>
      </c>
      <c r="R44" s="110" t="s">
        <v>2420</v>
      </c>
      <c r="S44" s="88" t="s">
        <v>51</v>
      </c>
    </row>
    <row r="45" spans="1:19" ht="12.75">
      <c r="A45" s="29">
        <v>2</v>
      </c>
      <c r="B45" s="410">
        <v>9</v>
      </c>
      <c r="C45" s="18" t="s">
        <v>3875</v>
      </c>
      <c r="D45" s="93" t="s">
        <v>2421</v>
      </c>
      <c r="E45" s="93" t="s">
        <v>1987</v>
      </c>
      <c r="F45" s="93" t="s">
        <v>2422</v>
      </c>
      <c r="G45" s="93" t="s">
        <v>301</v>
      </c>
      <c r="H45" s="93" t="s">
        <v>302</v>
      </c>
      <c r="I45" s="207" t="s">
        <v>49</v>
      </c>
      <c r="J45" s="103" t="s">
        <v>33</v>
      </c>
      <c r="K45" s="103" t="s">
        <v>33</v>
      </c>
      <c r="L45" s="102"/>
      <c r="M45" s="207" t="s">
        <v>93</v>
      </c>
      <c r="N45" s="207" t="s">
        <v>94</v>
      </c>
      <c r="O45" s="103" t="s">
        <v>424</v>
      </c>
      <c r="P45" s="102"/>
      <c r="Q45" s="212">
        <v>150</v>
      </c>
      <c r="R45" s="193" t="s">
        <v>2423</v>
      </c>
      <c r="S45" s="93" t="s">
        <v>2071</v>
      </c>
    </row>
    <row r="46" spans="1:19" ht="12.75">
      <c r="A46" s="29">
        <v>3</v>
      </c>
      <c r="B46" s="410">
        <v>8</v>
      </c>
      <c r="C46" s="18" t="s">
        <v>3876</v>
      </c>
      <c r="D46" s="93" t="s">
        <v>2425</v>
      </c>
      <c r="E46" s="93" t="s">
        <v>2426</v>
      </c>
      <c r="F46" s="93" t="s">
        <v>2427</v>
      </c>
      <c r="G46" s="93" t="s">
        <v>483</v>
      </c>
      <c r="H46" s="93" t="s">
        <v>484</v>
      </c>
      <c r="I46" s="207" t="s">
        <v>57</v>
      </c>
      <c r="J46" s="103" t="s">
        <v>48</v>
      </c>
      <c r="K46" s="103" t="s">
        <v>48</v>
      </c>
      <c r="L46" s="102"/>
      <c r="M46" s="207" t="s">
        <v>457</v>
      </c>
      <c r="N46" s="207" t="s">
        <v>94</v>
      </c>
      <c r="O46" s="103" t="s">
        <v>424</v>
      </c>
      <c r="P46" s="102"/>
      <c r="Q46" s="212">
        <v>135</v>
      </c>
      <c r="R46" s="193" t="s">
        <v>2428</v>
      </c>
      <c r="S46" s="93" t="s">
        <v>2429</v>
      </c>
    </row>
    <row r="47" spans="1:19" ht="12.75">
      <c r="A47" s="29">
        <v>1</v>
      </c>
      <c r="B47" s="410">
        <v>12</v>
      </c>
      <c r="C47" s="19" t="s">
        <v>3876</v>
      </c>
      <c r="D47" s="95" t="s">
        <v>2430</v>
      </c>
      <c r="E47" s="95" t="s">
        <v>2426</v>
      </c>
      <c r="F47" s="95" t="s">
        <v>2427</v>
      </c>
      <c r="G47" s="95" t="s">
        <v>483</v>
      </c>
      <c r="H47" s="95" t="s">
        <v>484</v>
      </c>
      <c r="I47" s="208" t="s">
        <v>57</v>
      </c>
      <c r="J47" s="112" t="s">
        <v>48</v>
      </c>
      <c r="K47" s="112" t="s">
        <v>48</v>
      </c>
      <c r="L47" s="109"/>
      <c r="M47" s="208" t="s">
        <v>457</v>
      </c>
      <c r="N47" s="208" t="s">
        <v>94</v>
      </c>
      <c r="O47" s="112" t="s">
        <v>424</v>
      </c>
      <c r="P47" s="109"/>
      <c r="Q47" s="168">
        <v>135</v>
      </c>
      <c r="R47" s="111" t="s">
        <v>2431</v>
      </c>
      <c r="S47" s="95" t="s">
        <v>2429</v>
      </c>
    </row>
    <row r="48" spans="1:19" ht="12.75">
      <c r="A48" s="29"/>
      <c r="B48" s="4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30"/>
      <c r="R48" s="15"/>
      <c r="S48" s="15"/>
    </row>
    <row r="49" spans="1:19" ht="15.75">
      <c r="A49" s="29"/>
      <c r="B49" s="410"/>
      <c r="C49" s="508" t="s">
        <v>227</v>
      </c>
      <c r="D49" s="508"/>
      <c r="E49" s="508"/>
      <c r="F49" s="508"/>
      <c r="G49" s="508"/>
      <c r="H49" s="508"/>
      <c r="I49" s="508"/>
      <c r="J49" s="508"/>
      <c r="K49" s="508"/>
      <c r="L49" s="508"/>
      <c r="M49" s="508"/>
      <c r="N49" s="508"/>
      <c r="O49" s="508"/>
      <c r="P49" s="508"/>
      <c r="Q49" s="508"/>
      <c r="R49" s="508"/>
      <c r="S49" s="15"/>
    </row>
    <row r="50" spans="1:19" ht="12.75">
      <c r="A50" s="29">
        <v>1</v>
      </c>
      <c r="B50" s="410"/>
      <c r="C50" s="20" t="s">
        <v>3877</v>
      </c>
      <c r="D50" s="210" t="s">
        <v>2432</v>
      </c>
      <c r="E50" s="210" t="s">
        <v>24</v>
      </c>
      <c r="F50" s="210" t="s">
        <v>2433</v>
      </c>
      <c r="G50" s="210" t="s">
        <v>31</v>
      </c>
      <c r="H50" s="210" t="s">
        <v>719</v>
      </c>
      <c r="I50" s="209" t="s">
        <v>303</v>
      </c>
      <c r="J50" s="136" t="s">
        <v>25</v>
      </c>
      <c r="K50" s="136" t="s">
        <v>25</v>
      </c>
      <c r="L50" s="201"/>
      <c r="M50" s="209" t="s">
        <v>416</v>
      </c>
      <c r="N50" s="209" t="s">
        <v>666</v>
      </c>
      <c r="O50" s="209" t="s">
        <v>474</v>
      </c>
      <c r="P50" s="201"/>
      <c r="Q50" s="211">
        <v>185</v>
      </c>
      <c r="R50" s="200" t="s">
        <v>2434</v>
      </c>
      <c r="S50" s="210" t="s">
        <v>51</v>
      </c>
    </row>
    <row r="51" spans="1:19" ht="12.75">
      <c r="A51" s="29"/>
      <c r="B51" s="4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30"/>
      <c r="R51" s="15"/>
      <c r="S51" s="15"/>
    </row>
    <row r="52" spans="1:19" ht="18">
      <c r="A52" s="29"/>
      <c r="B52" s="410"/>
      <c r="C52" s="16" t="s">
        <v>370</v>
      </c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30"/>
      <c r="R52" s="15"/>
      <c r="S52" s="15"/>
    </row>
    <row r="53" spans="1:19" ht="15.75">
      <c r="A53" s="29"/>
      <c r="B53" s="410"/>
      <c r="C53" s="22" t="s">
        <v>387</v>
      </c>
      <c r="D53" s="22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30"/>
      <c r="R53" s="15"/>
      <c r="S53" s="15"/>
    </row>
    <row r="54" spans="1:19" ht="13.5">
      <c r="A54" s="29"/>
      <c r="B54" s="410"/>
      <c r="C54" s="24"/>
      <c r="D54" s="25" t="s">
        <v>2102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30"/>
      <c r="R54" s="15"/>
      <c r="S54" s="15"/>
    </row>
    <row r="55" spans="1:19" ht="13.5">
      <c r="A55" s="29"/>
      <c r="B55" s="410"/>
      <c r="C55" s="26" t="s">
        <v>373</v>
      </c>
      <c r="D55" s="181" t="s">
        <v>374</v>
      </c>
      <c r="E55" s="181" t="s">
        <v>375</v>
      </c>
      <c r="F55" s="181" t="s">
        <v>376</v>
      </c>
      <c r="G55" s="181" t="s">
        <v>2319</v>
      </c>
      <c r="H55" s="15"/>
      <c r="I55" s="15"/>
      <c r="J55" s="15"/>
      <c r="K55" s="15"/>
      <c r="L55" s="15"/>
      <c r="M55" s="15"/>
      <c r="N55" s="15"/>
      <c r="O55" s="15"/>
      <c r="P55" s="15"/>
      <c r="Q55" s="30"/>
      <c r="R55" s="15"/>
      <c r="S55" s="15"/>
    </row>
    <row r="56" spans="1:19" ht="12.75">
      <c r="A56" s="29">
        <v>1</v>
      </c>
      <c r="B56" s="410"/>
      <c r="C56" s="90" t="s">
        <v>2360</v>
      </c>
      <c r="D56" s="49" t="s">
        <v>2435</v>
      </c>
      <c r="E56" s="50" t="s">
        <v>1646</v>
      </c>
      <c r="F56" s="50" t="s">
        <v>480</v>
      </c>
      <c r="G56" s="50" t="s">
        <v>2364</v>
      </c>
      <c r="H56" s="15"/>
      <c r="I56" s="15"/>
      <c r="J56" s="15"/>
      <c r="K56" s="15"/>
      <c r="L56" s="15"/>
      <c r="M56" s="15"/>
      <c r="N56" s="15"/>
      <c r="O56" s="15"/>
      <c r="P56" s="15"/>
      <c r="Q56" s="30"/>
      <c r="R56" s="15"/>
      <c r="S56" s="15"/>
    </row>
    <row r="57" spans="1:19" ht="12.75">
      <c r="A57" s="29">
        <v>2</v>
      </c>
      <c r="B57" s="410"/>
      <c r="C57" s="90" t="s">
        <v>2327</v>
      </c>
      <c r="D57" s="49" t="s">
        <v>2435</v>
      </c>
      <c r="E57" s="50" t="s">
        <v>2436</v>
      </c>
      <c r="F57" s="50" t="s">
        <v>48</v>
      </c>
      <c r="G57" s="50" t="s">
        <v>2331</v>
      </c>
      <c r="H57" s="15"/>
      <c r="I57" s="15"/>
      <c r="J57" s="15"/>
      <c r="K57" s="15"/>
      <c r="L57" s="15"/>
      <c r="M57" s="15"/>
      <c r="N57" s="15"/>
      <c r="O57" s="15"/>
      <c r="P57" s="15"/>
      <c r="Q57" s="30"/>
      <c r="R57" s="15"/>
      <c r="S57" s="15"/>
    </row>
    <row r="58" spans="1:19" ht="12.75">
      <c r="A58" s="29">
        <v>3</v>
      </c>
      <c r="B58" s="410"/>
      <c r="C58" s="90" t="s">
        <v>578</v>
      </c>
      <c r="D58" s="49" t="s">
        <v>2435</v>
      </c>
      <c r="E58" s="50" t="s">
        <v>1646</v>
      </c>
      <c r="F58" s="50" t="s">
        <v>474</v>
      </c>
      <c r="G58" s="50" t="s">
        <v>2368</v>
      </c>
      <c r="H58" s="15"/>
      <c r="I58" s="15"/>
      <c r="J58" s="15"/>
      <c r="K58" s="15"/>
      <c r="L58" s="15"/>
      <c r="M58" s="15"/>
      <c r="N58" s="15"/>
      <c r="O58" s="15"/>
      <c r="P58" s="15"/>
      <c r="Q58" s="30"/>
      <c r="R58" s="15"/>
      <c r="S58" s="15"/>
    </row>
    <row r="59" spans="1:19" ht="13.5">
      <c r="A59" s="29"/>
      <c r="B59" s="410"/>
      <c r="C59" s="24"/>
      <c r="D59" s="25" t="s">
        <v>2102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30"/>
      <c r="R59" s="15"/>
      <c r="S59" s="15"/>
    </row>
    <row r="60" spans="1:19" ht="13.5">
      <c r="A60" s="29"/>
      <c r="B60" s="410"/>
      <c r="C60" s="26" t="s">
        <v>373</v>
      </c>
      <c r="D60" s="181" t="s">
        <v>374</v>
      </c>
      <c r="E60" s="181" t="s">
        <v>375</v>
      </c>
      <c r="F60" s="181" t="s">
        <v>376</v>
      </c>
      <c r="G60" s="181" t="s">
        <v>2319</v>
      </c>
      <c r="H60" s="15"/>
      <c r="I60" s="15"/>
      <c r="J60" s="15"/>
      <c r="K60" s="15"/>
      <c r="L60" s="15"/>
      <c r="M60" s="15"/>
      <c r="N60" s="15"/>
      <c r="O60" s="15"/>
      <c r="P60" s="15"/>
      <c r="Q60" s="30"/>
      <c r="R60" s="15"/>
      <c r="S60" s="15"/>
    </row>
    <row r="61" spans="1:19" ht="12.75">
      <c r="A61" s="29">
        <v>1</v>
      </c>
      <c r="B61" s="410"/>
      <c r="C61" s="90" t="s">
        <v>2336</v>
      </c>
      <c r="D61" s="49" t="s">
        <v>395</v>
      </c>
      <c r="E61" s="50" t="s">
        <v>2321</v>
      </c>
      <c r="F61" s="50" t="s">
        <v>183</v>
      </c>
      <c r="G61" s="50" t="s">
        <v>2341</v>
      </c>
      <c r="H61" s="15"/>
      <c r="I61" s="15"/>
      <c r="J61" s="15"/>
      <c r="K61" s="15"/>
      <c r="L61" s="15"/>
      <c r="M61" s="15"/>
      <c r="N61" s="15"/>
      <c r="O61" s="15"/>
      <c r="P61" s="15"/>
      <c r="Q61" s="30"/>
      <c r="R61" s="15"/>
      <c r="S61" s="15"/>
    </row>
    <row r="62" spans="1:19" ht="12.75">
      <c r="A62" s="29">
        <v>2</v>
      </c>
      <c r="B62" s="410"/>
      <c r="C62" s="90" t="s">
        <v>1467</v>
      </c>
      <c r="D62" s="49" t="s">
        <v>395</v>
      </c>
      <c r="E62" s="50" t="s">
        <v>57</v>
      </c>
      <c r="F62" s="50" t="s">
        <v>598</v>
      </c>
      <c r="G62" s="50" t="s">
        <v>2344</v>
      </c>
      <c r="H62" s="15"/>
      <c r="I62" s="15"/>
      <c r="J62" s="15"/>
      <c r="K62" s="15"/>
      <c r="L62" s="15"/>
      <c r="M62" s="15"/>
      <c r="N62" s="15"/>
      <c r="O62" s="15"/>
      <c r="P62" s="15"/>
      <c r="Q62" s="30"/>
      <c r="R62" s="15"/>
      <c r="S62" s="15"/>
    </row>
    <row r="63" spans="1:19" ht="12.75">
      <c r="A63" s="29">
        <v>3</v>
      </c>
      <c r="B63" s="410"/>
      <c r="C63" s="90" t="s">
        <v>2346</v>
      </c>
      <c r="D63" s="49" t="s">
        <v>395</v>
      </c>
      <c r="E63" s="50" t="s">
        <v>2321</v>
      </c>
      <c r="F63" s="50" t="s">
        <v>89</v>
      </c>
      <c r="G63" s="50" t="s">
        <v>2349</v>
      </c>
      <c r="H63" s="15"/>
      <c r="I63" s="15"/>
      <c r="J63" s="15"/>
      <c r="K63" s="15"/>
      <c r="L63" s="15"/>
      <c r="M63" s="15"/>
      <c r="N63" s="15"/>
      <c r="O63" s="15"/>
      <c r="P63" s="15"/>
      <c r="Q63" s="30"/>
      <c r="R63" s="15"/>
      <c r="S63" s="15"/>
    </row>
    <row r="64" spans="1:19" ht="13.5">
      <c r="A64" s="29"/>
      <c r="B64" s="410"/>
      <c r="C64" s="24"/>
      <c r="D64" s="25" t="s">
        <v>2102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30"/>
      <c r="R64" s="15"/>
      <c r="S64" s="15"/>
    </row>
    <row r="65" spans="1:19" ht="13.5">
      <c r="A65" s="29"/>
      <c r="B65" s="410"/>
      <c r="C65" s="26" t="s">
        <v>373</v>
      </c>
      <c r="D65" s="181" t="s">
        <v>374</v>
      </c>
      <c r="E65" s="181" t="s">
        <v>375</v>
      </c>
      <c r="F65" s="181" t="s">
        <v>376</v>
      </c>
      <c r="G65" s="181" t="s">
        <v>2319</v>
      </c>
      <c r="H65" s="15"/>
      <c r="I65" s="15"/>
      <c r="J65" s="15"/>
      <c r="K65" s="15"/>
      <c r="L65" s="15"/>
      <c r="M65" s="15"/>
      <c r="N65" s="15"/>
      <c r="O65" s="15"/>
      <c r="P65" s="15"/>
      <c r="Q65" s="30"/>
      <c r="R65" s="15"/>
      <c r="S65" s="15"/>
    </row>
    <row r="66" spans="1:19" ht="12.75">
      <c r="A66" s="29">
        <v>1</v>
      </c>
      <c r="B66" s="410"/>
      <c r="C66" s="90" t="s">
        <v>155</v>
      </c>
      <c r="D66" s="49" t="s">
        <v>372</v>
      </c>
      <c r="E66" s="50" t="s">
        <v>1685</v>
      </c>
      <c r="F66" s="50" t="s">
        <v>350</v>
      </c>
      <c r="G66" s="50" t="s">
        <v>2297</v>
      </c>
      <c r="H66" s="15"/>
      <c r="I66" s="15"/>
      <c r="J66" s="15"/>
      <c r="K66" s="15"/>
      <c r="L66" s="15"/>
      <c r="M66" s="15"/>
      <c r="N66" s="15"/>
      <c r="O66" s="15"/>
      <c r="P66" s="15"/>
      <c r="Q66" s="30"/>
      <c r="R66" s="15"/>
      <c r="S66" s="15"/>
    </row>
    <row r="67" spans="1:19" ht="12.75">
      <c r="A67" s="29">
        <v>2</v>
      </c>
      <c r="B67" s="410"/>
      <c r="C67" s="90" t="s">
        <v>2350</v>
      </c>
      <c r="D67" s="49" t="s">
        <v>372</v>
      </c>
      <c r="E67" s="50" t="s">
        <v>2321</v>
      </c>
      <c r="F67" s="50" t="s">
        <v>64</v>
      </c>
      <c r="G67" s="50" t="s">
        <v>2354</v>
      </c>
      <c r="H67" s="15"/>
      <c r="I67" s="15"/>
      <c r="J67" s="15"/>
      <c r="K67" s="15"/>
      <c r="L67" s="15"/>
      <c r="M67" s="15"/>
      <c r="N67" s="15"/>
      <c r="O67" s="15"/>
      <c r="P67" s="15"/>
      <c r="Q67" s="30"/>
      <c r="R67" s="15"/>
      <c r="S67" s="15"/>
    </row>
    <row r="68" spans="1:19" ht="12.75">
      <c r="A68" s="29">
        <v>3</v>
      </c>
      <c r="B68" s="410"/>
      <c r="C68" s="90" t="s">
        <v>2369</v>
      </c>
      <c r="D68" s="49" t="s">
        <v>372</v>
      </c>
      <c r="E68" s="50" t="s">
        <v>1646</v>
      </c>
      <c r="F68" s="50" t="s">
        <v>77</v>
      </c>
      <c r="G68" s="50" t="s">
        <v>2373</v>
      </c>
      <c r="H68" s="15"/>
      <c r="I68" s="15"/>
      <c r="J68" s="15"/>
      <c r="K68" s="15"/>
      <c r="L68" s="15"/>
      <c r="M68" s="15"/>
      <c r="N68" s="15"/>
      <c r="O68" s="15"/>
      <c r="P68" s="15"/>
      <c r="Q68" s="30"/>
      <c r="R68" s="15"/>
      <c r="S68" s="15"/>
    </row>
    <row r="69" spans="1:19" ht="13.5">
      <c r="A69" s="29"/>
      <c r="B69" s="410"/>
      <c r="C69" s="24"/>
      <c r="D69" s="25" t="s">
        <v>2102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30"/>
      <c r="R69" s="15"/>
      <c r="S69" s="15"/>
    </row>
    <row r="70" spans="1:19" ht="13.5">
      <c r="A70" s="29"/>
      <c r="B70" s="410"/>
      <c r="C70" s="26" t="s">
        <v>373</v>
      </c>
      <c r="D70" s="181" t="s">
        <v>374</v>
      </c>
      <c r="E70" s="181" t="s">
        <v>375</v>
      </c>
      <c r="F70" s="181" t="s">
        <v>376</v>
      </c>
      <c r="G70" s="181" t="s">
        <v>2319</v>
      </c>
      <c r="H70" s="15"/>
      <c r="I70" s="15"/>
      <c r="J70" s="15"/>
      <c r="K70" s="15"/>
      <c r="L70" s="15"/>
      <c r="M70" s="15"/>
      <c r="N70" s="15"/>
      <c r="O70" s="15"/>
      <c r="P70" s="15"/>
      <c r="Q70" s="30"/>
      <c r="R70" s="15"/>
      <c r="S70" s="15"/>
    </row>
    <row r="71" spans="1:19" ht="12.75">
      <c r="A71" s="29">
        <v>1</v>
      </c>
      <c r="B71" s="410"/>
      <c r="C71" s="90" t="s">
        <v>2406</v>
      </c>
      <c r="D71" s="49" t="s">
        <v>2437</v>
      </c>
      <c r="E71" s="50" t="s">
        <v>1685</v>
      </c>
      <c r="F71" s="50" t="s">
        <v>132</v>
      </c>
      <c r="G71" s="50" t="s">
        <v>2415</v>
      </c>
      <c r="H71" s="15"/>
      <c r="I71" s="15"/>
      <c r="J71" s="15"/>
      <c r="K71" s="15"/>
      <c r="L71" s="15"/>
      <c r="M71" s="15"/>
      <c r="N71" s="15"/>
      <c r="O71" s="15"/>
      <c r="P71" s="15"/>
      <c r="Q71" s="30"/>
      <c r="R71" s="15"/>
      <c r="S71" s="15"/>
    </row>
    <row r="72" spans="1:19" ht="12.75">
      <c r="A72" s="29">
        <v>2</v>
      </c>
      <c r="B72" s="410"/>
      <c r="C72" s="90" t="s">
        <v>1111</v>
      </c>
      <c r="D72" s="49" t="s">
        <v>2437</v>
      </c>
      <c r="E72" s="50" t="s">
        <v>1646</v>
      </c>
      <c r="F72" s="50" t="s">
        <v>100</v>
      </c>
      <c r="G72" s="50" t="s">
        <v>2396</v>
      </c>
      <c r="H72" s="15"/>
      <c r="I72" s="15"/>
      <c r="J72" s="15"/>
      <c r="K72" s="15"/>
      <c r="L72" s="15"/>
      <c r="M72" s="15"/>
      <c r="N72" s="15"/>
      <c r="O72" s="15"/>
      <c r="P72" s="15"/>
      <c r="Q72" s="30"/>
      <c r="R72" s="15"/>
      <c r="S72" s="15"/>
    </row>
    <row r="73" spans="1:19" ht="12.75">
      <c r="A73" s="29">
        <v>3</v>
      </c>
      <c r="B73" s="410"/>
      <c r="C73" s="90" t="s">
        <v>2424</v>
      </c>
      <c r="D73" s="49" t="s">
        <v>2437</v>
      </c>
      <c r="E73" s="50" t="s">
        <v>1645</v>
      </c>
      <c r="F73" s="50" t="s">
        <v>551</v>
      </c>
      <c r="G73" s="50" t="s">
        <v>2431</v>
      </c>
      <c r="H73" s="15"/>
      <c r="I73" s="15"/>
      <c r="J73" s="15"/>
      <c r="K73" s="15"/>
      <c r="L73" s="15"/>
      <c r="M73" s="15"/>
      <c r="N73" s="15"/>
      <c r="O73" s="15"/>
      <c r="P73" s="15"/>
      <c r="Q73" s="30"/>
      <c r="R73" s="15"/>
      <c r="S73" s="15"/>
    </row>
    <row r="74" spans="1:19" ht="12.75">
      <c r="A74" s="29"/>
      <c r="B74" s="41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30"/>
      <c r="R74" s="15"/>
      <c r="S74" s="15"/>
    </row>
    <row r="75" spans="1:19" ht="12.75">
      <c r="A75" s="29"/>
      <c r="B75" s="41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30"/>
      <c r="R75" s="15"/>
      <c r="S75" s="15"/>
    </row>
    <row r="76" spans="1:19" ht="12.75">
      <c r="A76" s="29"/>
      <c r="B76" s="41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30"/>
      <c r="R76" s="15"/>
      <c r="S76" s="15"/>
    </row>
    <row r="77" spans="1:19" ht="12.75">
      <c r="A77" s="29"/>
      <c r="B77" s="41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30"/>
      <c r="R77" s="15"/>
      <c r="S77" s="15"/>
    </row>
    <row r="78" spans="1:19" ht="12.75">
      <c r="A78" s="29"/>
      <c r="B78" s="41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30"/>
      <c r="R78" s="15"/>
      <c r="S78" s="15"/>
    </row>
  </sheetData>
  <sheetProtection/>
  <mergeCells count="23">
    <mergeCell ref="C1:S1"/>
    <mergeCell ref="C2:S2"/>
    <mergeCell ref="A3:A4"/>
    <mergeCell ref="C3:C4"/>
    <mergeCell ref="D3:D4"/>
    <mergeCell ref="E3:E4"/>
    <mergeCell ref="F3:F4"/>
    <mergeCell ref="G3:G4"/>
    <mergeCell ref="H3:H4"/>
    <mergeCell ref="I3:L3"/>
    <mergeCell ref="C49:R49"/>
    <mergeCell ref="M3:P3"/>
    <mergeCell ref="Q3:Q4"/>
    <mergeCell ref="R3:R4"/>
    <mergeCell ref="S3:S4"/>
    <mergeCell ref="C5:R5"/>
    <mergeCell ref="C8:R8"/>
    <mergeCell ref="B3:B4"/>
    <mergeCell ref="C11:R11"/>
    <mergeCell ref="C14:R14"/>
    <mergeCell ref="C21:R21"/>
    <mergeCell ref="C35:R35"/>
    <mergeCell ref="C43:R4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I32" sqref="I32"/>
    </sheetView>
  </sheetViews>
  <sheetFormatPr defaultColWidth="11.375" defaultRowHeight="12.75"/>
  <cols>
    <col min="1" max="1" width="8.125" style="0" customWidth="1"/>
    <col min="2" max="2" width="11.25390625" style="409" customWidth="1"/>
    <col min="3" max="3" width="29.75390625" style="0" customWidth="1"/>
    <col min="4" max="4" width="24.125" style="0" customWidth="1"/>
    <col min="5" max="5" width="12.125" style="0" customWidth="1"/>
    <col min="6" max="6" width="11.375" style="0" customWidth="1"/>
    <col min="7" max="7" width="11.125" style="0" customWidth="1"/>
    <col min="8" max="8" width="25.25390625" style="0" customWidth="1"/>
    <col min="9" max="9" width="6.125" style="0" customWidth="1"/>
    <col min="10" max="10" width="6.25390625" style="0" customWidth="1"/>
    <col min="11" max="11" width="6.625" style="0" customWidth="1"/>
    <col min="12" max="12" width="5.75390625" style="0" customWidth="1"/>
    <col min="13" max="13" width="6.375" style="0" customWidth="1"/>
    <col min="14" max="14" width="6.25390625" style="0" customWidth="1"/>
    <col min="15" max="15" width="5.75390625" style="0" customWidth="1"/>
    <col min="16" max="16" width="6.875" style="0" customWidth="1"/>
    <col min="17" max="17" width="8.125" style="0" customWidth="1"/>
    <col min="18" max="18" width="11.375" style="0" customWidth="1"/>
    <col min="19" max="19" width="17.00390625" style="0" customWidth="1"/>
  </cols>
  <sheetData>
    <row r="1" spans="1:19" ht="39" customHeight="1">
      <c r="A1" s="538"/>
      <c r="B1" s="536"/>
      <c r="C1" s="509" t="s">
        <v>2270</v>
      </c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</row>
    <row r="2" spans="1:19" ht="36.75" customHeight="1" thickBot="1">
      <c r="A2" s="539"/>
      <c r="B2" s="537"/>
      <c r="C2" s="540" t="s">
        <v>2322</v>
      </c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</row>
    <row r="3" spans="1:19" ht="13.5" customHeight="1">
      <c r="A3" s="512" t="s">
        <v>1627</v>
      </c>
      <c r="B3" s="504" t="s">
        <v>4516</v>
      </c>
      <c r="C3" s="514" t="s">
        <v>0</v>
      </c>
      <c r="D3" s="516" t="s">
        <v>2271</v>
      </c>
      <c r="E3" s="516" t="s">
        <v>1629</v>
      </c>
      <c r="F3" s="514" t="s">
        <v>2272</v>
      </c>
      <c r="G3" s="514" t="s">
        <v>7</v>
      </c>
      <c r="H3" s="514" t="s">
        <v>3275</v>
      </c>
      <c r="I3" s="514" t="s">
        <v>2274</v>
      </c>
      <c r="J3" s="514"/>
      <c r="K3" s="514"/>
      <c r="L3" s="514"/>
      <c r="M3" s="514" t="s">
        <v>2275</v>
      </c>
      <c r="N3" s="514"/>
      <c r="O3" s="514"/>
      <c r="P3" s="514"/>
      <c r="Q3" s="514" t="s">
        <v>4</v>
      </c>
      <c r="R3" s="514" t="s">
        <v>6</v>
      </c>
      <c r="S3" s="510" t="s">
        <v>5</v>
      </c>
    </row>
    <row r="4" spans="1:19" ht="24" customHeight="1" thickBot="1">
      <c r="A4" s="513"/>
      <c r="B4" s="535"/>
      <c r="C4" s="515"/>
      <c r="D4" s="517"/>
      <c r="E4" s="517"/>
      <c r="F4" s="515"/>
      <c r="G4" s="515"/>
      <c r="H4" s="515"/>
      <c r="I4" s="457" t="s">
        <v>2208</v>
      </c>
      <c r="J4" s="457" t="s">
        <v>2209</v>
      </c>
      <c r="K4" s="457" t="s">
        <v>2210</v>
      </c>
      <c r="L4" s="457" t="s">
        <v>8</v>
      </c>
      <c r="M4" s="457" t="s">
        <v>2208</v>
      </c>
      <c r="N4" s="457" t="s">
        <v>2209</v>
      </c>
      <c r="O4" s="457" t="s">
        <v>2210</v>
      </c>
      <c r="P4" s="457" t="s">
        <v>8</v>
      </c>
      <c r="Q4" s="515"/>
      <c r="R4" s="515"/>
      <c r="S4" s="511"/>
    </row>
    <row r="5" spans="1:19" ht="15.75">
      <c r="A5" s="50"/>
      <c r="B5" s="402"/>
      <c r="C5" s="508" t="s">
        <v>42</v>
      </c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89"/>
    </row>
    <row r="6" spans="1:19" ht="12.75">
      <c r="A6" s="50" t="s">
        <v>2208</v>
      </c>
      <c r="B6" s="402"/>
      <c r="C6" s="187" t="s">
        <v>3878</v>
      </c>
      <c r="D6" s="188" t="s">
        <v>2276</v>
      </c>
      <c r="E6" s="188" t="s">
        <v>537</v>
      </c>
      <c r="F6" s="188" t="s">
        <v>2277</v>
      </c>
      <c r="G6" s="188" t="s">
        <v>31</v>
      </c>
      <c r="H6" s="188" t="s">
        <v>1903</v>
      </c>
      <c r="I6" s="206" t="s">
        <v>416</v>
      </c>
      <c r="J6" s="206" t="s">
        <v>57</v>
      </c>
      <c r="K6" s="206" t="s">
        <v>666</v>
      </c>
      <c r="L6" s="101"/>
      <c r="M6" s="206" t="s">
        <v>93</v>
      </c>
      <c r="N6" s="206" t="s">
        <v>94</v>
      </c>
      <c r="O6" s="121" t="s">
        <v>424</v>
      </c>
      <c r="P6" s="101"/>
      <c r="Q6" s="110" t="s">
        <v>598</v>
      </c>
      <c r="R6" s="110" t="s">
        <v>2278</v>
      </c>
      <c r="S6" s="188" t="s">
        <v>51</v>
      </c>
    </row>
    <row r="7" spans="1:19" ht="12.75">
      <c r="A7" s="50" t="s">
        <v>2208</v>
      </c>
      <c r="B7" s="402"/>
      <c r="C7" s="190" t="s">
        <v>3879</v>
      </c>
      <c r="D7" s="191" t="s">
        <v>1025</v>
      </c>
      <c r="E7" s="191" t="s">
        <v>2279</v>
      </c>
      <c r="F7" s="191" t="s">
        <v>2280</v>
      </c>
      <c r="G7" s="191" t="s">
        <v>31</v>
      </c>
      <c r="H7" s="191" t="s">
        <v>1026</v>
      </c>
      <c r="I7" s="103" t="s">
        <v>451</v>
      </c>
      <c r="J7" s="103" t="s">
        <v>451</v>
      </c>
      <c r="K7" s="207" t="s">
        <v>451</v>
      </c>
      <c r="L7" s="102"/>
      <c r="M7" s="207" t="s">
        <v>416</v>
      </c>
      <c r="N7" s="207" t="s">
        <v>57</v>
      </c>
      <c r="O7" s="103" t="s">
        <v>513</v>
      </c>
      <c r="P7" s="102"/>
      <c r="Q7" s="193" t="s">
        <v>555</v>
      </c>
      <c r="R7" s="193" t="s">
        <v>2281</v>
      </c>
      <c r="S7" s="191" t="s">
        <v>1027</v>
      </c>
    </row>
    <row r="8" spans="1:19" ht="12.75">
      <c r="A8" s="50" t="s">
        <v>2209</v>
      </c>
      <c r="B8" s="402" t="s">
        <v>3493</v>
      </c>
      <c r="C8" s="190" t="s">
        <v>3880</v>
      </c>
      <c r="D8" s="191" t="s">
        <v>562</v>
      </c>
      <c r="E8" s="191" t="s">
        <v>553</v>
      </c>
      <c r="F8" s="191" t="s">
        <v>2282</v>
      </c>
      <c r="G8" s="191" t="s">
        <v>125</v>
      </c>
      <c r="H8" s="191" t="s">
        <v>554</v>
      </c>
      <c r="I8" s="207" t="s">
        <v>416</v>
      </c>
      <c r="J8" s="207" t="s">
        <v>57</v>
      </c>
      <c r="K8" s="207" t="s">
        <v>48</v>
      </c>
      <c r="L8" s="102"/>
      <c r="M8" s="207" t="s">
        <v>144</v>
      </c>
      <c r="N8" s="207" t="s">
        <v>457</v>
      </c>
      <c r="O8" s="103" t="s">
        <v>95</v>
      </c>
      <c r="P8" s="102"/>
      <c r="Q8" s="193" t="s">
        <v>598</v>
      </c>
      <c r="R8" s="193" t="s">
        <v>2283</v>
      </c>
      <c r="S8" s="191" t="s">
        <v>2069</v>
      </c>
    </row>
    <row r="9" spans="1:19" ht="12.75">
      <c r="A9" s="50" t="s">
        <v>2210</v>
      </c>
      <c r="B9" s="402"/>
      <c r="C9" s="194" t="s">
        <v>3881</v>
      </c>
      <c r="D9" s="195" t="s">
        <v>560</v>
      </c>
      <c r="E9" s="195" t="s">
        <v>561</v>
      </c>
      <c r="F9" s="195" t="s">
        <v>2284</v>
      </c>
      <c r="G9" s="195" t="s">
        <v>31</v>
      </c>
      <c r="H9" s="195" t="s">
        <v>347</v>
      </c>
      <c r="I9" s="208" t="s">
        <v>71</v>
      </c>
      <c r="J9" s="208" t="s">
        <v>432</v>
      </c>
      <c r="K9" s="208" t="s">
        <v>94</v>
      </c>
      <c r="L9" s="109"/>
      <c r="M9" s="208" t="s">
        <v>16</v>
      </c>
      <c r="N9" s="208" t="s">
        <v>432</v>
      </c>
      <c r="O9" s="208" t="s">
        <v>93</v>
      </c>
      <c r="P9" s="109"/>
      <c r="Q9" s="111" t="s">
        <v>446</v>
      </c>
      <c r="R9" s="111" t="s">
        <v>2285</v>
      </c>
      <c r="S9" s="195" t="s">
        <v>2068</v>
      </c>
    </row>
    <row r="10" spans="1:19" ht="12.75">
      <c r="A10" s="50"/>
      <c r="B10" s="402"/>
      <c r="C10" s="197"/>
      <c r="D10" s="89"/>
      <c r="E10" s="89"/>
      <c r="F10" s="89"/>
      <c r="G10" s="89"/>
      <c r="H10" s="89"/>
      <c r="I10" s="49"/>
      <c r="J10" s="49"/>
      <c r="K10" s="49"/>
      <c r="L10" s="49"/>
      <c r="M10" s="49"/>
      <c r="N10" s="49"/>
      <c r="O10" s="49"/>
      <c r="P10" s="49"/>
      <c r="Q10" s="197"/>
      <c r="R10" s="49"/>
      <c r="S10" s="89"/>
    </row>
    <row r="11" spans="1:19" ht="15.75">
      <c r="A11" s="50"/>
      <c r="B11" s="402"/>
      <c r="C11" s="508" t="s">
        <v>116</v>
      </c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89"/>
    </row>
    <row r="12" spans="1:19" ht="12.75">
      <c r="A12" s="50" t="s">
        <v>2208</v>
      </c>
      <c r="B12" s="402"/>
      <c r="C12" s="198" t="s">
        <v>3882</v>
      </c>
      <c r="D12" s="199" t="s">
        <v>2286</v>
      </c>
      <c r="E12" s="199" t="s">
        <v>2287</v>
      </c>
      <c r="F12" s="199" t="s">
        <v>2288</v>
      </c>
      <c r="G12" s="199" t="s">
        <v>31</v>
      </c>
      <c r="H12" s="199" t="s">
        <v>1903</v>
      </c>
      <c r="I12" s="209" t="s">
        <v>303</v>
      </c>
      <c r="J12" s="209" t="s">
        <v>471</v>
      </c>
      <c r="K12" s="136" t="s">
        <v>25</v>
      </c>
      <c r="L12" s="201"/>
      <c r="M12" s="209" t="s">
        <v>416</v>
      </c>
      <c r="N12" s="136" t="s">
        <v>56</v>
      </c>
      <c r="O12" s="209" t="s">
        <v>56</v>
      </c>
      <c r="P12" s="201"/>
      <c r="Q12" s="200" t="s">
        <v>269</v>
      </c>
      <c r="R12" s="200" t="s">
        <v>2289</v>
      </c>
      <c r="S12" s="199" t="s">
        <v>51</v>
      </c>
    </row>
    <row r="13" spans="1:19" ht="12.75">
      <c r="A13" s="50"/>
      <c r="B13" s="402"/>
      <c r="C13" s="197"/>
      <c r="D13" s="89"/>
      <c r="E13" s="89"/>
      <c r="F13" s="89"/>
      <c r="G13" s="89"/>
      <c r="H13" s="89"/>
      <c r="I13" s="49"/>
      <c r="J13" s="49"/>
      <c r="K13" s="49"/>
      <c r="L13" s="49"/>
      <c r="M13" s="49"/>
      <c r="N13" s="49"/>
      <c r="O13" s="49"/>
      <c r="P13" s="49"/>
      <c r="Q13" s="197"/>
      <c r="R13" s="49"/>
      <c r="S13" s="89"/>
    </row>
    <row r="14" spans="1:19" ht="15.75">
      <c r="A14" s="50"/>
      <c r="B14" s="402"/>
      <c r="C14" s="508" t="s">
        <v>59</v>
      </c>
      <c r="D14" s="508"/>
      <c r="E14" s="508"/>
      <c r="F14" s="508"/>
      <c r="G14" s="508"/>
      <c r="H14" s="508"/>
      <c r="I14" s="508"/>
      <c r="J14" s="508"/>
      <c r="K14" s="508"/>
      <c r="L14" s="508"/>
      <c r="M14" s="508"/>
      <c r="N14" s="508"/>
      <c r="O14" s="508"/>
      <c r="P14" s="508"/>
      <c r="Q14" s="508"/>
      <c r="R14" s="508"/>
      <c r="S14" s="89"/>
    </row>
    <row r="15" spans="1:19" ht="12.75">
      <c r="A15" s="50" t="s">
        <v>2208</v>
      </c>
      <c r="B15" s="402" t="s">
        <v>3489</v>
      </c>
      <c r="C15" s="187" t="s">
        <v>3883</v>
      </c>
      <c r="D15" s="188" t="s">
        <v>2291</v>
      </c>
      <c r="E15" s="188" t="s">
        <v>656</v>
      </c>
      <c r="F15" s="188" t="s">
        <v>2292</v>
      </c>
      <c r="G15" s="188" t="s">
        <v>2293</v>
      </c>
      <c r="H15" s="188" t="s">
        <v>196</v>
      </c>
      <c r="I15" s="206" t="s">
        <v>303</v>
      </c>
      <c r="J15" s="206" t="s">
        <v>24</v>
      </c>
      <c r="K15" s="206" t="s">
        <v>446</v>
      </c>
      <c r="L15" s="101"/>
      <c r="M15" s="206" t="s">
        <v>416</v>
      </c>
      <c r="N15" s="206" t="s">
        <v>666</v>
      </c>
      <c r="O15" s="121" t="s">
        <v>474</v>
      </c>
      <c r="P15" s="101"/>
      <c r="Q15" s="110" t="s">
        <v>176</v>
      </c>
      <c r="R15" s="110" t="s">
        <v>2294</v>
      </c>
      <c r="S15" s="188" t="s">
        <v>51</v>
      </c>
    </row>
    <row r="16" spans="1:19" ht="12.75">
      <c r="A16" s="50" t="s">
        <v>2209</v>
      </c>
      <c r="B16" s="402"/>
      <c r="C16" s="194" t="s">
        <v>3884</v>
      </c>
      <c r="D16" s="195" t="s">
        <v>156</v>
      </c>
      <c r="E16" s="195" t="s">
        <v>157</v>
      </c>
      <c r="F16" s="195" t="s">
        <v>2295</v>
      </c>
      <c r="G16" s="195" t="s">
        <v>31</v>
      </c>
      <c r="H16" s="195" t="s">
        <v>2296</v>
      </c>
      <c r="I16" s="207" t="s">
        <v>303</v>
      </c>
      <c r="J16" s="207" t="s">
        <v>25</v>
      </c>
      <c r="K16" s="207" t="s">
        <v>446</v>
      </c>
      <c r="L16" s="102"/>
      <c r="M16" s="207" t="s">
        <v>457</v>
      </c>
      <c r="N16" s="207" t="s">
        <v>424</v>
      </c>
      <c r="O16" s="207" t="s">
        <v>55</v>
      </c>
      <c r="P16" s="109"/>
      <c r="Q16" s="111" t="s">
        <v>350</v>
      </c>
      <c r="R16" s="111" t="s">
        <v>2297</v>
      </c>
      <c r="S16" s="195" t="s">
        <v>158</v>
      </c>
    </row>
    <row r="17" spans="1:19" ht="12.75">
      <c r="A17" s="50"/>
      <c r="B17" s="402"/>
      <c r="C17" s="197"/>
      <c r="D17" s="89"/>
      <c r="E17" s="89"/>
      <c r="F17" s="89"/>
      <c r="G17" s="89"/>
      <c r="H17" s="89"/>
      <c r="I17" s="49"/>
      <c r="J17" s="49"/>
      <c r="K17" s="49"/>
      <c r="L17" s="49"/>
      <c r="M17" s="49"/>
      <c r="N17" s="49"/>
      <c r="O17" s="49"/>
      <c r="P17" s="49"/>
      <c r="Q17" s="197"/>
      <c r="R17" s="49"/>
      <c r="S17" s="89"/>
    </row>
    <row r="18" spans="1:19" ht="15.75">
      <c r="A18" s="50"/>
      <c r="B18" s="402"/>
      <c r="C18" s="508" t="s">
        <v>164</v>
      </c>
      <c r="D18" s="508"/>
      <c r="E18" s="508"/>
      <c r="F18" s="508"/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8"/>
      <c r="R18" s="508"/>
      <c r="S18" s="89"/>
    </row>
    <row r="19" spans="1:19" ht="12.75">
      <c r="A19" s="50" t="s">
        <v>2208</v>
      </c>
      <c r="B19" s="402"/>
      <c r="C19" s="187" t="s">
        <v>3885</v>
      </c>
      <c r="D19" s="188" t="s">
        <v>2298</v>
      </c>
      <c r="E19" s="188" t="s">
        <v>2299</v>
      </c>
      <c r="F19" s="188" t="s">
        <v>2300</v>
      </c>
      <c r="G19" s="188" t="s">
        <v>31</v>
      </c>
      <c r="H19" s="188" t="s">
        <v>347</v>
      </c>
      <c r="I19" s="206" t="s">
        <v>94</v>
      </c>
      <c r="J19" s="206" t="s">
        <v>48</v>
      </c>
      <c r="K19" s="206" t="s">
        <v>49</v>
      </c>
      <c r="L19" s="101"/>
      <c r="M19" s="206" t="s">
        <v>16</v>
      </c>
      <c r="N19" s="206" t="s">
        <v>93</v>
      </c>
      <c r="O19" s="121" t="s">
        <v>416</v>
      </c>
      <c r="P19" s="101"/>
      <c r="Q19" s="110" t="s">
        <v>131</v>
      </c>
      <c r="R19" s="110" t="s">
        <v>2301</v>
      </c>
      <c r="S19" s="188" t="s">
        <v>2068</v>
      </c>
    </row>
    <row r="20" spans="1:19" ht="12.75">
      <c r="A20" s="50" t="s">
        <v>2208</v>
      </c>
      <c r="B20" s="402"/>
      <c r="C20" s="194" t="s">
        <v>3886</v>
      </c>
      <c r="D20" s="195" t="s">
        <v>2302</v>
      </c>
      <c r="E20" s="195" t="s">
        <v>2303</v>
      </c>
      <c r="F20" s="195" t="s">
        <v>2304</v>
      </c>
      <c r="G20" s="195" t="s">
        <v>31</v>
      </c>
      <c r="H20" s="195" t="s">
        <v>1903</v>
      </c>
      <c r="I20" s="112" t="s">
        <v>474</v>
      </c>
      <c r="J20" s="208" t="s">
        <v>49</v>
      </c>
      <c r="K20" s="208" t="s">
        <v>33</v>
      </c>
      <c r="L20" s="109"/>
      <c r="M20" s="208" t="s">
        <v>94</v>
      </c>
      <c r="N20" s="208" t="s">
        <v>95</v>
      </c>
      <c r="O20" s="208" t="s">
        <v>416</v>
      </c>
      <c r="P20" s="109"/>
      <c r="Q20" s="111" t="s">
        <v>183</v>
      </c>
      <c r="R20" s="111" t="s">
        <v>2305</v>
      </c>
      <c r="S20" s="195" t="s">
        <v>51</v>
      </c>
    </row>
    <row r="21" spans="1:19" ht="12.75">
      <c r="A21" s="50"/>
      <c r="B21" s="402"/>
      <c r="C21" s="197"/>
      <c r="D21" s="89"/>
      <c r="E21" s="89"/>
      <c r="F21" s="89"/>
      <c r="G21" s="89"/>
      <c r="H21" s="89"/>
      <c r="I21" s="49"/>
      <c r="J21" s="49"/>
      <c r="K21" s="49"/>
      <c r="L21" s="49"/>
      <c r="M21" s="49"/>
      <c r="N21" s="49"/>
      <c r="O21" s="49"/>
      <c r="P21" s="49"/>
      <c r="Q21" s="197"/>
      <c r="R21" s="49"/>
      <c r="S21" s="89"/>
    </row>
    <row r="22" spans="1:19" ht="15.75">
      <c r="A22" s="50"/>
      <c r="B22" s="402"/>
      <c r="C22" s="508" t="s">
        <v>227</v>
      </c>
      <c r="D22" s="508"/>
      <c r="E22" s="508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89"/>
    </row>
    <row r="23" spans="1:19" ht="12.75">
      <c r="A23" s="50" t="s">
        <v>2208</v>
      </c>
      <c r="B23" s="402"/>
      <c r="C23" s="187" t="s">
        <v>3887</v>
      </c>
      <c r="D23" s="188" t="s">
        <v>1390</v>
      </c>
      <c r="E23" s="188" t="s">
        <v>2306</v>
      </c>
      <c r="F23" s="188" t="s">
        <v>2307</v>
      </c>
      <c r="G23" s="188" t="s">
        <v>31</v>
      </c>
      <c r="H23" s="188" t="s">
        <v>554</v>
      </c>
      <c r="I23" s="206" t="s">
        <v>94</v>
      </c>
      <c r="J23" s="206" t="s">
        <v>48</v>
      </c>
      <c r="K23" s="206" t="s">
        <v>303</v>
      </c>
      <c r="L23" s="101"/>
      <c r="M23" s="206" t="s">
        <v>16</v>
      </c>
      <c r="N23" s="121" t="s">
        <v>94</v>
      </c>
      <c r="O23" s="206" t="s">
        <v>94</v>
      </c>
      <c r="P23" s="101"/>
      <c r="Q23" s="110" t="s">
        <v>64</v>
      </c>
      <c r="R23" s="110" t="s">
        <v>2308</v>
      </c>
      <c r="S23" s="188" t="s">
        <v>51</v>
      </c>
    </row>
    <row r="24" spans="1:19" ht="12.75">
      <c r="A24" s="50" t="s">
        <v>2208</v>
      </c>
      <c r="B24" s="402" t="s">
        <v>3526</v>
      </c>
      <c r="C24" s="194" t="s">
        <v>3888</v>
      </c>
      <c r="D24" s="195" t="s">
        <v>2309</v>
      </c>
      <c r="E24" s="195" t="s">
        <v>974</v>
      </c>
      <c r="F24" s="195" t="s">
        <v>2310</v>
      </c>
      <c r="G24" s="195" t="s">
        <v>130</v>
      </c>
      <c r="H24" s="195" t="s">
        <v>2311</v>
      </c>
      <c r="I24" s="208" t="s">
        <v>48</v>
      </c>
      <c r="J24" s="208" t="s">
        <v>49</v>
      </c>
      <c r="K24" s="112" t="s">
        <v>452</v>
      </c>
      <c r="L24" s="109"/>
      <c r="M24" s="208" t="s">
        <v>94</v>
      </c>
      <c r="N24" s="208" t="s">
        <v>55</v>
      </c>
      <c r="O24" s="208" t="s">
        <v>56</v>
      </c>
      <c r="P24" s="109"/>
      <c r="Q24" s="111" t="s">
        <v>77</v>
      </c>
      <c r="R24" s="111" t="s">
        <v>2312</v>
      </c>
      <c r="S24" s="195" t="s">
        <v>51</v>
      </c>
    </row>
    <row r="25" spans="1:19" ht="12.75">
      <c r="A25" s="50"/>
      <c r="B25" s="402"/>
      <c r="C25" s="197"/>
      <c r="D25" s="89"/>
      <c r="E25" s="89"/>
      <c r="F25" s="89"/>
      <c r="G25" s="89"/>
      <c r="H25" s="89"/>
      <c r="I25" s="49"/>
      <c r="J25" s="49"/>
      <c r="K25" s="49"/>
      <c r="L25" s="49"/>
      <c r="M25" s="49"/>
      <c r="N25" s="49"/>
      <c r="O25" s="49"/>
      <c r="P25" s="49"/>
      <c r="Q25" s="197"/>
      <c r="R25" s="49"/>
      <c r="S25" s="89"/>
    </row>
    <row r="26" spans="1:19" ht="15.75">
      <c r="A26" s="50"/>
      <c r="B26" s="402"/>
      <c r="C26" s="508" t="s">
        <v>304</v>
      </c>
      <c r="D26" s="508"/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89"/>
    </row>
    <row r="27" spans="1:19" ht="12.75">
      <c r="A27" s="50" t="s">
        <v>2208</v>
      </c>
      <c r="B27" s="402" t="s">
        <v>3506</v>
      </c>
      <c r="C27" s="198" t="s">
        <v>3889</v>
      </c>
      <c r="D27" s="199" t="s">
        <v>2314</v>
      </c>
      <c r="E27" s="199" t="s">
        <v>2315</v>
      </c>
      <c r="F27" s="199" t="s">
        <v>2316</v>
      </c>
      <c r="G27" s="199" t="s">
        <v>2104</v>
      </c>
      <c r="H27" s="199" t="s">
        <v>1262</v>
      </c>
      <c r="I27" s="209" t="s">
        <v>88</v>
      </c>
      <c r="J27" s="209" t="s">
        <v>89</v>
      </c>
      <c r="K27" s="209" t="s">
        <v>480</v>
      </c>
      <c r="L27" s="201"/>
      <c r="M27" s="209" t="s">
        <v>57</v>
      </c>
      <c r="N27" s="209" t="s">
        <v>48</v>
      </c>
      <c r="O27" s="136" t="s">
        <v>474</v>
      </c>
      <c r="P27" s="201"/>
      <c r="Q27" s="200" t="s">
        <v>237</v>
      </c>
      <c r="R27" s="200" t="s">
        <v>2317</v>
      </c>
      <c r="S27" s="199" t="s">
        <v>2318</v>
      </c>
    </row>
    <row r="28" spans="1:19" ht="12.75">
      <c r="A28" s="50"/>
      <c r="B28" s="402"/>
      <c r="C28" s="197"/>
      <c r="D28" s="89"/>
      <c r="E28" s="89"/>
      <c r="F28" s="89"/>
      <c r="G28" s="89"/>
      <c r="H28" s="89"/>
      <c r="I28" s="49"/>
      <c r="J28" s="49"/>
      <c r="K28" s="49"/>
      <c r="L28" s="49"/>
      <c r="M28" s="49"/>
      <c r="N28" s="49"/>
      <c r="O28" s="49"/>
      <c r="P28" s="49"/>
      <c r="Q28" s="197"/>
      <c r="R28" s="49"/>
      <c r="S28" s="89"/>
    </row>
    <row r="29" spans="1:19" ht="18">
      <c r="A29" s="50"/>
      <c r="B29" s="402"/>
      <c r="C29" s="202" t="s">
        <v>370</v>
      </c>
      <c r="D29" s="203"/>
      <c r="E29" s="89"/>
      <c r="F29" s="89"/>
      <c r="G29" s="89"/>
      <c r="H29" s="89"/>
      <c r="I29" s="49"/>
      <c r="J29" s="49"/>
      <c r="K29" s="49"/>
      <c r="L29" s="49"/>
      <c r="M29" s="49"/>
      <c r="N29" s="49"/>
      <c r="O29" s="49"/>
      <c r="P29" s="49"/>
      <c r="Q29" s="197"/>
      <c r="R29" s="49"/>
      <c r="S29" s="89"/>
    </row>
    <row r="30" spans="1:19" ht="18">
      <c r="A30" s="50"/>
      <c r="B30" s="402"/>
      <c r="C30" s="22" t="s">
        <v>387</v>
      </c>
      <c r="D30" s="203"/>
      <c r="E30" s="89"/>
      <c r="F30" s="89"/>
      <c r="G30" s="89"/>
      <c r="H30" s="89"/>
      <c r="I30" s="49"/>
      <c r="J30" s="49"/>
      <c r="K30" s="49"/>
      <c r="L30" s="49"/>
      <c r="M30" s="49"/>
      <c r="N30" s="49"/>
      <c r="O30" s="49"/>
      <c r="P30" s="49"/>
      <c r="Q30" s="197"/>
      <c r="R30" s="49"/>
      <c r="S30" s="89"/>
    </row>
    <row r="31" spans="1:19" ht="13.5">
      <c r="A31" s="50"/>
      <c r="B31" s="402"/>
      <c r="C31" s="204"/>
      <c r="D31" s="205" t="s">
        <v>2102</v>
      </c>
      <c r="E31" s="89"/>
      <c r="F31" s="89"/>
      <c r="G31" s="89"/>
      <c r="H31" s="89"/>
      <c r="I31" s="49"/>
      <c r="J31" s="49"/>
      <c r="K31" s="49"/>
      <c r="L31" s="49"/>
      <c r="M31" s="49"/>
      <c r="N31" s="49"/>
      <c r="O31" s="49"/>
      <c r="P31" s="49"/>
      <c r="Q31" s="197"/>
      <c r="R31" s="49"/>
      <c r="S31" s="89"/>
    </row>
    <row r="32" spans="1:19" ht="13.5">
      <c r="A32" s="50"/>
      <c r="B32" s="402"/>
      <c r="C32" s="26" t="s">
        <v>373</v>
      </c>
      <c r="D32" s="181" t="s">
        <v>374</v>
      </c>
      <c r="E32" s="181" t="s">
        <v>375</v>
      </c>
      <c r="F32" s="181" t="s">
        <v>376</v>
      </c>
      <c r="G32" s="181" t="s">
        <v>2319</v>
      </c>
      <c r="H32" s="89"/>
      <c r="I32" s="49"/>
      <c r="J32" s="49"/>
      <c r="K32" s="49"/>
      <c r="L32" s="49"/>
      <c r="M32" s="49"/>
      <c r="N32" s="49"/>
      <c r="O32" s="49"/>
      <c r="P32" s="49"/>
      <c r="Q32" s="197"/>
      <c r="R32" s="49"/>
      <c r="S32" s="89"/>
    </row>
    <row r="33" spans="1:19" ht="12.75">
      <c r="A33" s="50" t="s">
        <v>2208</v>
      </c>
      <c r="B33" s="402"/>
      <c r="C33" s="90" t="s">
        <v>2313</v>
      </c>
      <c r="D33" s="49" t="s">
        <v>372</v>
      </c>
      <c r="E33" s="50" t="s">
        <v>2320</v>
      </c>
      <c r="F33" s="50" t="s">
        <v>237</v>
      </c>
      <c r="G33" s="50" t="s">
        <v>2317</v>
      </c>
      <c r="H33" s="89"/>
      <c r="I33" s="49"/>
      <c r="J33" s="49"/>
      <c r="K33" s="49"/>
      <c r="L33" s="49"/>
      <c r="M33" s="49"/>
      <c r="N33" s="49"/>
      <c r="O33" s="49"/>
      <c r="P33" s="49"/>
      <c r="Q33" s="197"/>
      <c r="R33" s="49"/>
      <c r="S33" s="89"/>
    </row>
    <row r="34" spans="1:19" ht="12.75">
      <c r="A34" s="50" t="s">
        <v>2209</v>
      </c>
      <c r="B34" s="402"/>
      <c r="C34" s="90" t="s">
        <v>1024</v>
      </c>
      <c r="D34" s="49" t="s">
        <v>372</v>
      </c>
      <c r="E34" s="50" t="s">
        <v>2321</v>
      </c>
      <c r="F34" s="50" t="s">
        <v>555</v>
      </c>
      <c r="G34" s="50" t="s">
        <v>2281</v>
      </c>
      <c r="H34" s="89"/>
      <c r="I34" s="49"/>
      <c r="J34" s="49"/>
      <c r="K34" s="49"/>
      <c r="L34" s="49"/>
      <c r="M34" s="49"/>
      <c r="N34" s="49"/>
      <c r="O34" s="49"/>
      <c r="P34" s="49"/>
      <c r="Q34" s="197"/>
      <c r="R34" s="49"/>
      <c r="S34" s="89"/>
    </row>
    <row r="35" spans="1:19" ht="12.75">
      <c r="A35" s="50" t="s">
        <v>2210</v>
      </c>
      <c r="B35" s="402"/>
      <c r="C35" s="90" t="s">
        <v>2290</v>
      </c>
      <c r="D35" s="49" t="s">
        <v>372</v>
      </c>
      <c r="E35" s="50" t="s">
        <v>49</v>
      </c>
      <c r="F35" s="50" t="s">
        <v>176</v>
      </c>
      <c r="G35" s="50" t="s">
        <v>2294</v>
      </c>
      <c r="H35" s="89"/>
      <c r="I35" s="49"/>
      <c r="J35" s="49"/>
      <c r="K35" s="49"/>
      <c r="L35" s="49"/>
      <c r="M35" s="49"/>
      <c r="N35" s="49"/>
      <c r="O35" s="49"/>
      <c r="P35" s="49"/>
      <c r="Q35" s="197"/>
      <c r="R35" s="49"/>
      <c r="S35" s="89"/>
    </row>
    <row r="36" spans="1:19" ht="12.75">
      <c r="A36" s="50"/>
      <c r="B36" s="402"/>
      <c r="C36" s="197"/>
      <c r="D36" s="89"/>
      <c r="E36" s="89"/>
      <c r="F36" s="89"/>
      <c r="G36" s="89"/>
      <c r="H36" s="89"/>
      <c r="I36" s="49"/>
      <c r="J36" s="49"/>
      <c r="K36" s="49"/>
      <c r="L36" s="49"/>
      <c r="M36" s="49"/>
      <c r="N36" s="49"/>
      <c r="O36" s="49"/>
      <c r="P36" s="49"/>
      <c r="Q36" s="197"/>
      <c r="R36" s="49"/>
      <c r="S36" s="89"/>
    </row>
    <row r="37" spans="1:19" ht="12.75">
      <c r="A37" s="50"/>
      <c r="B37" s="402"/>
      <c r="C37" s="197"/>
      <c r="D37" s="89"/>
      <c r="E37" s="89"/>
      <c r="F37" s="89"/>
      <c r="G37" s="89"/>
      <c r="H37" s="89"/>
      <c r="I37" s="49"/>
      <c r="J37" s="49"/>
      <c r="K37" s="49"/>
      <c r="L37" s="49"/>
      <c r="M37" s="49"/>
      <c r="N37" s="49"/>
      <c r="O37" s="49"/>
      <c r="P37" s="49"/>
      <c r="Q37" s="197"/>
      <c r="R37" s="49"/>
      <c r="S37" s="89"/>
    </row>
  </sheetData>
  <sheetProtection/>
  <mergeCells count="23">
    <mergeCell ref="C26:R26"/>
    <mergeCell ref="I3:L3"/>
    <mergeCell ref="M3:P3"/>
    <mergeCell ref="Q3:Q4"/>
    <mergeCell ref="R3:R4"/>
    <mergeCell ref="C14:R14"/>
    <mergeCell ref="C18:R18"/>
    <mergeCell ref="C22:R22"/>
    <mergeCell ref="C11:R11"/>
    <mergeCell ref="E3:E4"/>
    <mergeCell ref="G3:G4"/>
    <mergeCell ref="C5:R5"/>
    <mergeCell ref="F3:F4"/>
    <mergeCell ref="B1:B2"/>
    <mergeCell ref="B3:B4"/>
    <mergeCell ref="A1:A2"/>
    <mergeCell ref="C1:S1"/>
    <mergeCell ref="C2:S2"/>
    <mergeCell ref="A3:A4"/>
    <mergeCell ref="C3:C4"/>
    <mergeCell ref="S3:S4"/>
    <mergeCell ref="H3:H4"/>
    <mergeCell ref="D3:D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V7" sqref="V7"/>
    </sheetView>
  </sheetViews>
  <sheetFormatPr defaultColWidth="8.75390625" defaultRowHeight="12.75"/>
  <cols>
    <col min="1" max="1" width="7.375" style="29" customWidth="1"/>
    <col min="2" max="2" width="10.625" style="410" customWidth="1"/>
    <col min="3" max="3" width="26.00390625" style="15" bestFit="1" customWidth="1"/>
    <col min="4" max="4" width="24.375" style="15" customWidth="1"/>
    <col min="5" max="5" width="10.625" style="15" bestFit="1" customWidth="1"/>
    <col min="6" max="6" width="8.375" style="15" bestFit="1" customWidth="1"/>
    <col min="7" max="7" width="23.875" style="15" customWidth="1"/>
    <col min="8" max="8" width="28.125" style="15" customWidth="1"/>
    <col min="9" max="11" width="5.625" style="15" bestFit="1" customWidth="1"/>
    <col min="12" max="12" width="4.625" style="15" bestFit="1" customWidth="1"/>
    <col min="13" max="13" width="11.00390625" style="15" customWidth="1"/>
    <col min="14" max="14" width="8.625" style="15" bestFit="1" customWidth="1"/>
    <col min="15" max="15" width="16.75390625" style="15" bestFit="1" customWidth="1"/>
  </cols>
  <sheetData>
    <row r="1" spans="1:15" s="1" customFormat="1" ht="39.75" customHeight="1">
      <c r="A1" s="538"/>
      <c r="B1" s="536"/>
      <c r="C1" s="509" t="s">
        <v>4518</v>
      </c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</row>
    <row r="2" spans="1:15" s="1" customFormat="1" ht="37.5" customHeight="1" thickBot="1">
      <c r="A2" s="538"/>
      <c r="B2" s="536"/>
      <c r="C2" s="509" t="s">
        <v>2322</v>
      </c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</row>
    <row r="3" spans="1:15" s="2" customFormat="1" ht="12.75" customHeight="1">
      <c r="A3" s="546" t="s">
        <v>1627</v>
      </c>
      <c r="B3" s="516" t="s">
        <v>4516</v>
      </c>
      <c r="C3" s="542" t="s">
        <v>0</v>
      </c>
      <c r="D3" s="548" t="s">
        <v>1628</v>
      </c>
      <c r="E3" s="548" t="s">
        <v>1629</v>
      </c>
      <c r="F3" s="542" t="s">
        <v>9</v>
      </c>
      <c r="G3" s="542" t="s">
        <v>7</v>
      </c>
      <c r="H3" s="514" t="s">
        <v>3275</v>
      </c>
      <c r="I3" s="542" t="s">
        <v>3</v>
      </c>
      <c r="J3" s="542"/>
      <c r="K3" s="542"/>
      <c r="L3" s="542"/>
      <c r="M3" s="542" t="s">
        <v>1672</v>
      </c>
      <c r="N3" s="542" t="s">
        <v>6</v>
      </c>
      <c r="O3" s="544" t="s">
        <v>5</v>
      </c>
    </row>
    <row r="4" spans="1:15" s="2" customFormat="1" ht="21" customHeight="1" thickBot="1">
      <c r="A4" s="547"/>
      <c r="B4" s="517"/>
      <c r="C4" s="543"/>
      <c r="D4" s="543"/>
      <c r="E4" s="549"/>
      <c r="F4" s="543"/>
      <c r="G4" s="543"/>
      <c r="H4" s="515"/>
      <c r="I4" s="3">
        <v>1</v>
      </c>
      <c r="J4" s="3">
        <v>2</v>
      </c>
      <c r="K4" s="3">
        <v>3</v>
      </c>
      <c r="L4" s="3" t="s">
        <v>8</v>
      </c>
      <c r="M4" s="543"/>
      <c r="N4" s="543"/>
      <c r="O4" s="545"/>
    </row>
    <row r="5" spans="3:14" ht="15.75">
      <c r="C5" s="541" t="s">
        <v>80</v>
      </c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</row>
    <row r="6" spans="1:15" ht="12.75">
      <c r="A6" s="29">
        <v>1</v>
      </c>
      <c r="C6" s="20" t="s">
        <v>4108</v>
      </c>
      <c r="D6" s="20" t="s">
        <v>984</v>
      </c>
      <c r="E6" s="20" t="s">
        <v>1744</v>
      </c>
      <c r="F6" s="20" t="str">
        <f>"1,1950"</f>
        <v>1,1950</v>
      </c>
      <c r="G6" s="20" t="s">
        <v>31</v>
      </c>
      <c r="H6" s="20" t="s">
        <v>1746</v>
      </c>
      <c r="I6" s="134" t="s">
        <v>598</v>
      </c>
      <c r="J6" s="134" t="s">
        <v>132</v>
      </c>
      <c r="K6" s="31"/>
      <c r="L6" s="31"/>
      <c r="M6" s="33" t="s">
        <v>132</v>
      </c>
      <c r="N6" s="33" t="str">
        <f>"179,2500"</f>
        <v>179,2500</v>
      </c>
      <c r="O6" s="20" t="s">
        <v>2032</v>
      </c>
    </row>
    <row r="8" spans="3:14" ht="15.75">
      <c r="C8" s="541" t="s">
        <v>4118</v>
      </c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</row>
    <row r="9" spans="1:15" ht="12.75">
      <c r="A9" s="29">
        <v>1</v>
      </c>
      <c r="C9" s="20" t="s">
        <v>4109</v>
      </c>
      <c r="D9" s="20" t="s">
        <v>1546</v>
      </c>
      <c r="E9" s="20" t="s">
        <v>1712</v>
      </c>
      <c r="F9" s="20" t="str">
        <f>"1,0432"</f>
        <v>1,0432</v>
      </c>
      <c r="G9" s="20" t="s">
        <v>31</v>
      </c>
      <c r="H9" s="20" t="s">
        <v>1642</v>
      </c>
      <c r="I9" s="134" t="s">
        <v>63</v>
      </c>
      <c r="J9" s="134" t="s">
        <v>77</v>
      </c>
      <c r="K9" s="45" t="s">
        <v>153</v>
      </c>
      <c r="L9" s="31"/>
      <c r="M9" s="33">
        <v>162.5</v>
      </c>
      <c r="N9" s="33" t="str">
        <f>"169,5200"</f>
        <v>169,5200</v>
      </c>
      <c r="O9" s="20" t="s">
        <v>2132</v>
      </c>
    </row>
    <row r="11" spans="3:14" ht="15.75">
      <c r="C11" s="541" t="s">
        <v>4119</v>
      </c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</row>
    <row r="12" spans="1:15" ht="12.75">
      <c r="A12" s="29">
        <v>1</v>
      </c>
      <c r="C12" s="20" t="s">
        <v>4110</v>
      </c>
      <c r="D12" s="20" t="s">
        <v>422</v>
      </c>
      <c r="E12" s="20" t="s">
        <v>1688</v>
      </c>
      <c r="F12" s="20" t="str">
        <f>"0,6806"</f>
        <v>0,6806</v>
      </c>
      <c r="G12" s="20" t="s">
        <v>31</v>
      </c>
      <c r="H12" s="20" t="s">
        <v>1642</v>
      </c>
      <c r="I12" s="134" t="s">
        <v>191</v>
      </c>
      <c r="J12" s="134" t="s">
        <v>238</v>
      </c>
      <c r="K12" s="45" t="s">
        <v>991</v>
      </c>
      <c r="L12" s="31"/>
      <c r="M12" s="33" t="s">
        <v>238</v>
      </c>
      <c r="N12" s="33" t="s">
        <v>2131</v>
      </c>
      <c r="O12" s="20" t="s">
        <v>1686</v>
      </c>
    </row>
    <row r="14" spans="3:14" ht="15.75">
      <c r="C14" s="541" t="s">
        <v>4120</v>
      </c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</row>
    <row r="15" spans="1:15" ht="12.75">
      <c r="A15" s="29">
        <v>1</v>
      </c>
      <c r="C15" s="17" t="s">
        <v>4111</v>
      </c>
      <c r="D15" s="17" t="s">
        <v>156</v>
      </c>
      <c r="E15" s="84" t="s">
        <v>1677</v>
      </c>
      <c r="F15" s="17" t="str">
        <f>"0,6410"</f>
        <v>0,6410</v>
      </c>
      <c r="G15" s="84" t="s">
        <v>31</v>
      </c>
      <c r="H15" s="17" t="s">
        <v>1675</v>
      </c>
      <c r="I15" s="147" t="s">
        <v>319</v>
      </c>
      <c r="J15" s="138" t="s">
        <v>992</v>
      </c>
      <c r="K15" s="147" t="s">
        <v>341</v>
      </c>
      <c r="L15" s="36"/>
      <c r="M15" s="87" t="s">
        <v>341</v>
      </c>
      <c r="N15" s="35" t="s">
        <v>2134</v>
      </c>
      <c r="O15" s="88" t="s">
        <v>158</v>
      </c>
    </row>
    <row r="16" spans="1:15" ht="12.75">
      <c r="A16" s="29">
        <v>2</v>
      </c>
      <c r="B16" s="410">
        <v>9</v>
      </c>
      <c r="C16" s="19" t="s">
        <v>4112</v>
      </c>
      <c r="D16" s="19" t="s">
        <v>1548</v>
      </c>
      <c r="E16" s="98" t="s">
        <v>1745</v>
      </c>
      <c r="F16" s="19" t="str">
        <f>"0,6471"</f>
        <v>0,6471</v>
      </c>
      <c r="G16" s="98" t="s">
        <v>54</v>
      </c>
      <c r="H16" s="19" t="s">
        <v>504</v>
      </c>
      <c r="I16" s="148" t="s">
        <v>109</v>
      </c>
      <c r="J16" s="139" t="s">
        <v>818</v>
      </c>
      <c r="K16" s="153" t="s">
        <v>253</v>
      </c>
      <c r="L16" s="42"/>
      <c r="M16" s="100">
        <v>212.5</v>
      </c>
      <c r="N16" s="41" t="str">
        <f>"137,5087"</f>
        <v>137,5087</v>
      </c>
      <c r="O16" s="95" t="s">
        <v>2133</v>
      </c>
    </row>
    <row r="18" spans="3:4" ht="18">
      <c r="C18" s="16" t="s">
        <v>370</v>
      </c>
      <c r="D18" s="16"/>
    </row>
    <row r="19" spans="3:4" ht="15.75">
      <c r="C19" s="22" t="s">
        <v>387</v>
      </c>
      <c r="D19" s="22"/>
    </row>
    <row r="20" spans="3:4" ht="13.5">
      <c r="C20" s="24"/>
      <c r="D20" s="25" t="s">
        <v>2102</v>
      </c>
    </row>
    <row r="21" spans="3:7" ht="13.5">
      <c r="C21" s="26" t="s">
        <v>373</v>
      </c>
      <c r="D21" s="181" t="s">
        <v>374</v>
      </c>
      <c r="E21" s="181" t="s">
        <v>375</v>
      </c>
      <c r="F21" s="181" t="s">
        <v>376</v>
      </c>
      <c r="G21" s="181" t="s">
        <v>377</v>
      </c>
    </row>
    <row r="22" spans="1:7" ht="12.75">
      <c r="A22" s="29">
        <v>1</v>
      </c>
      <c r="C22" s="23" t="s">
        <v>155</v>
      </c>
      <c r="D22" s="49" t="s">
        <v>372</v>
      </c>
      <c r="E22" s="49" t="s">
        <v>378</v>
      </c>
      <c r="F22" s="49" t="s">
        <v>341</v>
      </c>
      <c r="G22" s="50" t="s">
        <v>2134</v>
      </c>
    </row>
    <row r="23" spans="1:7" ht="12.75">
      <c r="A23" s="29">
        <v>2</v>
      </c>
      <c r="C23" s="23" t="s">
        <v>988</v>
      </c>
      <c r="D23" s="49" t="s">
        <v>372</v>
      </c>
      <c r="E23" s="49" t="s">
        <v>1646</v>
      </c>
      <c r="F23" s="49" t="s">
        <v>238</v>
      </c>
      <c r="G23" s="50" t="s">
        <v>2131</v>
      </c>
    </row>
    <row r="24" spans="1:7" ht="12.75">
      <c r="A24" s="29">
        <v>3</v>
      </c>
      <c r="C24" s="23" t="s">
        <v>1547</v>
      </c>
      <c r="D24" s="49" t="s">
        <v>372</v>
      </c>
      <c r="E24" s="49" t="s">
        <v>378</v>
      </c>
      <c r="F24" s="49" t="s">
        <v>818</v>
      </c>
      <c r="G24" s="50" t="s">
        <v>2262</v>
      </c>
    </row>
  </sheetData>
  <sheetProtection/>
  <mergeCells count="20">
    <mergeCell ref="C11:N11"/>
    <mergeCell ref="O3:O4"/>
    <mergeCell ref="A3:A4"/>
    <mergeCell ref="D3:D4"/>
    <mergeCell ref="E3:E4"/>
    <mergeCell ref="F3:F4"/>
    <mergeCell ref="G3:G4"/>
    <mergeCell ref="H3:H4"/>
    <mergeCell ref="I3:L3"/>
    <mergeCell ref="M3:M4"/>
    <mergeCell ref="C14:N14"/>
    <mergeCell ref="A1:A2"/>
    <mergeCell ref="B1:B2"/>
    <mergeCell ref="C1:O1"/>
    <mergeCell ref="C2:O2"/>
    <mergeCell ref="N3:N4"/>
    <mergeCell ref="C3:C4"/>
    <mergeCell ref="B3:B4"/>
    <mergeCell ref="C5:N5"/>
    <mergeCell ref="C8:N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B16">
      <selection activeCell="C44" sqref="C44:N44"/>
    </sheetView>
  </sheetViews>
  <sheetFormatPr defaultColWidth="8.75390625" defaultRowHeight="12.75"/>
  <cols>
    <col min="1" max="1" width="8.25390625" style="29" customWidth="1"/>
    <col min="2" max="2" width="11.375" style="410" customWidth="1"/>
    <col min="3" max="3" width="26.00390625" style="15" bestFit="1" customWidth="1"/>
    <col min="4" max="4" width="26.875" style="15" bestFit="1" customWidth="1"/>
    <col min="5" max="5" width="10.625" style="15" bestFit="1" customWidth="1"/>
    <col min="6" max="6" width="8.375" style="15" bestFit="1" customWidth="1"/>
    <col min="7" max="7" width="20.875" style="15" customWidth="1"/>
    <col min="8" max="8" width="31.375" style="15" customWidth="1"/>
    <col min="9" max="11" width="5.625" style="15" bestFit="1" customWidth="1"/>
    <col min="12" max="12" width="4.625" style="15" bestFit="1" customWidth="1"/>
    <col min="13" max="13" width="11.375" style="30" customWidth="1"/>
    <col min="14" max="14" width="8.625" style="15" bestFit="1" customWidth="1"/>
    <col min="15" max="15" width="21.75390625" style="15" customWidth="1"/>
  </cols>
  <sheetData>
    <row r="1" spans="1:15" s="1" customFormat="1" ht="30.75" customHeight="1">
      <c r="A1" s="538"/>
      <c r="B1" s="536"/>
      <c r="C1" s="509" t="s">
        <v>4519</v>
      </c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</row>
    <row r="2" spans="1:15" s="1" customFormat="1" ht="39" customHeight="1" thickBot="1">
      <c r="A2" s="538"/>
      <c r="B2" s="536"/>
      <c r="C2" s="509" t="s">
        <v>2322</v>
      </c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</row>
    <row r="3" spans="1:15" s="2" customFormat="1" ht="12.75" customHeight="1">
      <c r="A3" s="546" t="s">
        <v>1627</v>
      </c>
      <c r="B3" s="516" t="s">
        <v>4516</v>
      </c>
      <c r="C3" s="542" t="s">
        <v>0</v>
      </c>
      <c r="D3" s="548" t="s">
        <v>1628</v>
      </c>
      <c r="E3" s="548" t="s">
        <v>1629</v>
      </c>
      <c r="F3" s="542" t="s">
        <v>9</v>
      </c>
      <c r="G3" s="542" t="s">
        <v>7</v>
      </c>
      <c r="H3" s="514" t="s">
        <v>3275</v>
      </c>
      <c r="I3" s="542" t="s">
        <v>3</v>
      </c>
      <c r="J3" s="542"/>
      <c r="K3" s="542"/>
      <c r="L3" s="542"/>
      <c r="M3" s="550" t="s">
        <v>1672</v>
      </c>
      <c r="N3" s="542" t="s">
        <v>6</v>
      </c>
      <c r="O3" s="544" t="s">
        <v>5</v>
      </c>
    </row>
    <row r="4" spans="1:15" s="2" customFormat="1" ht="21" customHeight="1" thickBot="1">
      <c r="A4" s="547"/>
      <c r="B4" s="517"/>
      <c r="C4" s="543"/>
      <c r="D4" s="543"/>
      <c r="E4" s="549"/>
      <c r="F4" s="543"/>
      <c r="G4" s="543"/>
      <c r="H4" s="515"/>
      <c r="I4" s="3">
        <v>1</v>
      </c>
      <c r="J4" s="3">
        <v>2</v>
      </c>
      <c r="K4" s="3">
        <v>3</v>
      </c>
      <c r="L4" s="3" t="s">
        <v>8</v>
      </c>
      <c r="M4" s="551"/>
      <c r="N4" s="543"/>
      <c r="O4" s="545"/>
    </row>
    <row r="5" spans="3:14" ht="15.75">
      <c r="C5" s="541" t="s">
        <v>4121</v>
      </c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</row>
    <row r="6" spans="1:15" ht="12.75">
      <c r="A6" s="29">
        <v>1</v>
      </c>
      <c r="B6" s="410">
        <v>12</v>
      </c>
      <c r="C6" s="20" t="s">
        <v>4114</v>
      </c>
      <c r="D6" s="20" t="s">
        <v>1226</v>
      </c>
      <c r="E6" s="20" t="s">
        <v>1747</v>
      </c>
      <c r="F6" s="20" t="str">
        <f>"1,1251"</f>
        <v>1,1251</v>
      </c>
      <c r="G6" s="20" t="s">
        <v>14</v>
      </c>
      <c r="H6" s="20" t="s">
        <v>1643</v>
      </c>
      <c r="I6" s="134" t="s">
        <v>49</v>
      </c>
      <c r="J6" s="134" t="s">
        <v>303</v>
      </c>
      <c r="K6" s="45" t="s">
        <v>25</v>
      </c>
      <c r="L6" s="31"/>
      <c r="M6" s="34">
        <v>100</v>
      </c>
      <c r="N6" s="33" t="str">
        <f>"112,5100"</f>
        <v>112,5100</v>
      </c>
      <c r="O6" s="20" t="s">
        <v>1359</v>
      </c>
    </row>
    <row r="8" spans="3:14" ht="15.75">
      <c r="C8" s="541" t="s">
        <v>4122</v>
      </c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</row>
    <row r="9" spans="1:15" ht="12.75">
      <c r="A9" s="29">
        <v>1</v>
      </c>
      <c r="B9" s="410">
        <v>12</v>
      </c>
      <c r="C9" s="20" t="s">
        <v>4115</v>
      </c>
      <c r="D9" s="20" t="s">
        <v>1520</v>
      </c>
      <c r="E9" s="20" t="s">
        <v>1651</v>
      </c>
      <c r="F9" s="20" t="str">
        <f>"1,0351"</f>
        <v>1,0351</v>
      </c>
      <c r="G9" s="20" t="s">
        <v>14</v>
      </c>
      <c r="H9" s="20" t="s">
        <v>1643</v>
      </c>
      <c r="I9" s="134" t="s">
        <v>446</v>
      </c>
      <c r="J9" s="134" t="s">
        <v>447</v>
      </c>
      <c r="K9" s="45" t="s">
        <v>551</v>
      </c>
      <c r="L9" s="31"/>
      <c r="M9" s="34">
        <v>125</v>
      </c>
      <c r="N9" s="33" t="str">
        <f>"129,3875"</f>
        <v>129,3875</v>
      </c>
      <c r="O9" s="20" t="s">
        <v>1664</v>
      </c>
    </row>
    <row r="11" spans="3:14" ht="15.75">
      <c r="C11" s="541" t="s">
        <v>4123</v>
      </c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</row>
    <row r="12" spans="1:15" ht="12.75">
      <c r="A12" s="29">
        <v>1</v>
      </c>
      <c r="B12" s="410">
        <v>30</v>
      </c>
      <c r="C12" s="20" t="s">
        <v>4116</v>
      </c>
      <c r="D12" s="20" t="s">
        <v>803</v>
      </c>
      <c r="E12" s="20" t="s">
        <v>57</v>
      </c>
      <c r="F12" s="20" t="str">
        <f>"0,9506"</f>
        <v>0,9506</v>
      </c>
      <c r="G12" s="20" t="s">
        <v>14</v>
      </c>
      <c r="H12" s="20" t="s">
        <v>1694</v>
      </c>
      <c r="I12" s="134" t="s">
        <v>238</v>
      </c>
      <c r="J12" s="45" t="s">
        <v>319</v>
      </c>
      <c r="K12" s="31"/>
      <c r="L12" s="31"/>
      <c r="M12" s="34">
        <v>230</v>
      </c>
      <c r="N12" s="33" t="str">
        <f>"218,6380"</f>
        <v>218,6380</v>
      </c>
      <c r="O12" s="20" t="s">
        <v>51</v>
      </c>
    </row>
    <row r="14" spans="3:14" ht="15.75">
      <c r="C14" s="541" t="s">
        <v>4122</v>
      </c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</row>
    <row r="15" spans="1:15" ht="12.75">
      <c r="A15" s="29">
        <v>1</v>
      </c>
      <c r="C15" s="20" t="s">
        <v>4638</v>
      </c>
      <c r="D15" s="20" t="s">
        <v>1366</v>
      </c>
      <c r="E15" s="20" t="s">
        <v>1748</v>
      </c>
      <c r="F15" s="20" t="str">
        <f>"0,7993"</f>
        <v>0,7993</v>
      </c>
      <c r="G15" s="20" t="s">
        <v>31</v>
      </c>
      <c r="H15" s="20" t="s">
        <v>1643</v>
      </c>
      <c r="I15" s="134" t="s">
        <v>153</v>
      </c>
      <c r="J15" s="134" t="s">
        <v>108</v>
      </c>
      <c r="K15" s="45" t="s">
        <v>190</v>
      </c>
      <c r="L15" s="31"/>
      <c r="M15" s="34">
        <v>190</v>
      </c>
      <c r="N15" s="33" t="str">
        <f>"151,8670"</f>
        <v>151,8670</v>
      </c>
      <c r="O15" s="20" t="s">
        <v>1755</v>
      </c>
    </row>
    <row r="16" ht="12.75">
      <c r="G16" s="15" t="s">
        <v>2102</v>
      </c>
    </row>
    <row r="17" spans="3:14" ht="15.75">
      <c r="C17" s="541" t="s">
        <v>4123</v>
      </c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</row>
    <row r="18" spans="1:15" ht="12.75">
      <c r="A18" s="29">
        <v>1</v>
      </c>
      <c r="B18" s="410">
        <v>12</v>
      </c>
      <c r="C18" s="20" t="s">
        <v>4637</v>
      </c>
      <c r="D18" s="20" t="s">
        <v>1521</v>
      </c>
      <c r="E18" s="20" t="s">
        <v>1749</v>
      </c>
      <c r="F18" s="20" t="str">
        <f>"0,7221"</f>
        <v>0,7221</v>
      </c>
      <c r="G18" s="20" t="s">
        <v>14</v>
      </c>
      <c r="H18" s="20" t="s">
        <v>1643</v>
      </c>
      <c r="I18" s="134" t="s">
        <v>63</v>
      </c>
      <c r="J18" s="134" t="s">
        <v>153</v>
      </c>
      <c r="K18" s="134" t="s">
        <v>126</v>
      </c>
      <c r="L18" s="31"/>
      <c r="M18" s="34">
        <v>175</v>
      </c>
      <c r="N18" s="33" t="str">
        <f>"126,3675"</f>
        <v>126,3675</v>
      </c>
      <c r="O18" s="20" t="s">
        <v>1665</v>
      </c>
    </row>
    <row r="20" spans="3:14" ht="15.75">
      <c r="C20" s="541" t="s">
        <v>4124</v>
      </c>
      <c r="D20" s="541"/>
      <c r="E20" s="541"/>
      <c r="F20" s="541"/>
      <c r="G20" s="541"/>
      <c r="H20" s="541"/>
      <c r="I20" s="541"/>
      <c r="J20" s="541"/>
      <c r="K20" s="541"/>
      <c r="L20" s="541"/>
      <c r="M20" s="541"/>
      <c r="N20" s="541"/>
    </row>
    <row r="21" spans="1:15" ht="12.75">
      <c r="A21" s="29">
        <v>1</v>
      </c>
      <c r="C21" s="17" t="s">
        <v>4639</v>
      </c>
      <c r="D21" s="17" t="s">
        <v>1522</v>
      </c>
      <c r="E21" s="17" t="s">
        <v>1692</v>
      </c>
      <c r="F21" s="83" t="str">
        <f>"0,6724"</f>
        <v>0,6724</v>
      </c>
      <c r="G21" s="17" t="s">
        <v>31</v>
      </c>
      <c r="H21" s="88" t="s">
        <v>1643</v>
      </c>
      <c r="I21" s="46" t="s">
        <v>883</v>
      </c>
      <c r="J21" s="46" t="s">
        <v>883</v>
      </c>
      <c r="K21" s="138" t="s">
        <v>883</v>
      </c>
      <c r="L21" s="36"/>
      <c r="M21" s="44">
        <v>245</v>
      </c>
      <c r="N21" s="35" t="str">
        <f>"164,7380"</f>
        <v>164,7380</v>
      </c>
      <c r="O21" s="17" t="s">
        <v>2139</v>
      </c>
    </row>
    <row r="22" spans="1:15" ht="12.75">
      <c r="A22" s="29">
        <v>2</v>
      </c>
      <c r="B22" s="410">
        <v>9</v>
      </c>
      <c r="C22" s="18" t="s">
        <v>1523</v>
      </c>
      <c r="D22" s="18" t="s">
        <v>1524</v>
      </c>
      <c r="E22" s="18" t="s">
        <v>1659</v>
      </c>
      <c r="F22" s="92" t="str">
        <f>"0,6774"</f>
        <v>0,6774</v>
      </c>
      <c r="G22" s="18" t="s">
        <v>14</v>
      </c>
      <c r="H22" s="93" t="s">
        <v>1643</v>
      </c>
      <c r="I22" s="140" t="s">
        <v>131</v>
      </c>
      <c r="J22" s="140" t="s">
        <v>297</v>
      </c>
      <c r="K22" s="47" t="s">
        <v>76</v>
      </c>
      <c r="L22" s="39"/>
      <c r="M22" s="40">
        <v>152.5</v>
      </c>
      <c r="N22" s="38" t="str">
        <f>"103,3035"</f>
        <v>103,3035</v>
      </c>
      <c r="O22" s="18" t="s">
        <v>1664</v>
      </c>
    </row>
    <row r="23" spans="1:15" ht="12.75">
      <c r="A23" s="29">
        <v>1</v>
      </c>
      <c r="B23" s="410">
        <v>12</v>
      </c>
      <c r="C23" s="19" t="s">
        <v>4423</v>
      </c>
      <c r="D23" s="19" t="s">
        <v>892</v>
      </c>
      <c r="E23" s="19" t="s">
        <v>1692</v>
      </c>
      <c r="F23" s="94" t="str">
        <f>"0,6724"</f>
        <v>0,6724</v>
      </c>
      <c r="G23" s="19" t="s">
        <v>2104</v>
      </c>
      <c r="H23" s="95" t="s">
        <v>893</v>
      </c>
      <c r="I23" s="134" t="s">
        <v>317</v>
      </c>
      <c r="J23" s="134" t="s">
        <v>319</v>
      </c>
      <c r="K23" s="45" t="s">
        <v>845</v>
      </c>
      <c r="L23" s="42"/>
      <c r="M23" s="43">
        <v>250</v>
      </c>
      <c r="N23" s="41" t="str">
        <f>"187,2634"</f>
        <v>187,2634</v>
      </c>
      <c r="O23" s="19" t="s">
        <v>1674</v>
      </c>
    </row>
    <row r="25" spans="3:14" ht="15.75">
      <c r="C25" s="541" t="s">
        <v>4120</v>
      </c>
      <c r="D25" s="541"/>
      <c r="E25" s="541"/>
      <c r="F25" s="541"/>
      <c r="G25" s="541"/>
      <c r="H25" s="541"/>
      <c r="I25" s="541"/>
      <c r="J25" s="541"/>
      <c r="K25" s="541"/>
      <c r="L25" s="541"/>
      <c r="M25" s="541"/>
      <c r="N25" s="541"/>
    </row>
    <row r="26" spans="1:15" ht="12.75">
      <c r="A26" s="29">
        <v>1</v>
      </c>
      <c r="C26" s="17" t="s">
        <v>4117</v>
      </c>
      <c r="D26" s="17" t="s">
        <v>1526</v>
      </c>
      <c r="E26" s="17" t="s">
        <v>1750</v>
      </c>
      <c r="F26" s="17" t="str">
        <f>"0,6475"</f>
        <v>0,6475</v>
      </c>
      <c r="G26" s="17" t="s">
        <v>31</v>
      </c>
      <c r="H26" s="17" t="s">
        <v>1757</v>
      </c>
      <c r="I26" s="138" t="s">
        <v>1140</v>
      </c>
      <c r="J26" s="138" t="s">
        <v>992</v>
      </c>
      <c r="K26" s="36"/>
      <c r="L26" s="36"/>
      <c r="M26" s="44">
        <v>265</v>
      </c>
      <c r="N26" s="35" t="str">
        <f>"171,5875"</f>
        <v>171,5875</v>
      </c>
      <c r="O26" s="17" t="s">
        <v>51</v>
      </c>
    </row>
    <row r="27" spans="1:15" ht="12.75">
      <c r="A27" s="29">
        <v>2</v>
      </c>
      <c r="B27" s="410">
        <v>9</v>
      </c>
      <c r="C27" s="18" t="s">
        <v>4634</v>
      </c>
      <c r="D27" s="18" t="s">
        <v>1527</v>
      </c>
      <c r="E27" s="18" t="s">
        <v>49</v>
      </c>
      <c r="F27" s="18" t="str">
        <f>"0,6384"</f>
        <v>0,6384</v>
      </c>
      <c r="G27" s="18" t="s">
        <v>14</v>
      </c>
      <c r="H27" s="18" t="s">
        <v>1643</v>
      </c>
      <c r="I27" s="140" t="s">
        <v>191</v>
      </c>
      <c r="J27" s="140" t="s">
        <v>317</v>
      </c>
      <c r="K27" s="47" t="s">
        <v>319</v>
      </c>
      <c r="L27" s="39"/>
      <c r="M27" s="40">
        <v>240</v>
      </c>
      <c r="N27" s="38" t="str">
        <f>"153,2160"</f>
        <v>153,2160</v>
      </c>
      <c r="O27" s="18" t="s">
        <v>1665</v>
      </c>
    </row>
    <row r="28" spans="1:15" ht="12.75">
      <c r="A28" s="29">
        <v>3</v>
      </c>
      <c r="B28" s="410">
        <v>8</v>
      </c>
      <c r="C28" s="18" t="s">
        <v>4633</v>
      </c>
      <c r="D28" s="18" t="s">
        <v>1529</v>
      </c>
      <c r="E28" s="18" t="s">
        <v>1745</v>
      </c>
      <c r="F28" s="18" t="str">
        <f>"0,6471"</f>
        <v>0,6471</v>
      </c>
      <c r="G28" s="18" t="s">
        <v>14</v>
      </c>
      <c r="H28" s="18" t="s">
        <v>2244</v>
      </c>
      <c r="I28" s="140" t="s">
        <v>126</v>
      </c>
      <c r="J28" s="140" t="s">
        <v>108</v>
      </c>
      <c r="K28" s="140" t="s">
        <v>190</v>
      </c>
      <c r="L28" s="39"/>
      <c r="M28" s="40">
        <v>200</v>
      </c>
      <c r="N28" s="38" t="str">
        <f>"129,4200"</f>
        <v>129,4200</v>
      </c>
      <c r="O28" s="18" t="s">
        <v>1664</v>
      </c>
    </row>
    <row r="29" spans="1:15" ht="12.75">
      <c r="A29" s="29">
        <v>1</v>
      </c>
      <c r="C29" s="19" t="s">
        <v>4117</v>
      </c>
      <c r="D29" s="19" t="s">
        <v>1530</v>
      </c>
      <c r="E29" s="19" t="s">
        <v>1750</v>
      </c>
      <c r="F29" s="19" t="str">
        <f>"0,6475"</f>
        <v>0,6475</v>
      </c>
      <c r="G29" s="19" t="s">
        <v>31</v>
      </c>
      <c r="H29" s="19" t="s">
        <v>1757</v>
      </c>
      <c r="I29" s="139" t="s">
        <v>1140</v>
      </c>
      <c r="J29" s="139" t="s">
        <v>992</v>
      </c>
      <c r="K29" s="42"/>
      <c r="L29" s="42"/>
      <c r="M29" s="43">
        <v>265</v>
      </c>
      <c r="N29" s="41" t="str">
        <f>"188,0599"</f>
        <v>188,0599</v>
      </c>
      <c r="O29" s="19" t="s">
        <v>51</v>
      </c>
    </row>
    <row r="31" spans="3:14" ht="15.75">
      <c r="C31" s="541" t="s">
        <v>4125</v>
      </c>
      <c r="D31" s="541"/>
      <c r="E31" s="541"/>
      <c r="F31" s="541"/>
      <c r="G31" s="541"/>
      <c r="H31" s="541"/>
      <c r="I31" s="541"/>
      <c r="J31" s="541"/>
      <c r="K31" s="541"/>
      <c r="L31" s="541"/>
      <c r="M31" s="541"/>
      <c r="N31" s="541"/>
    </row>
    <row r="32" spans="1:15" ht="12.75">
      <c r="A32" s="29">
        <v>1</v>
      </c>
      <c r="B32" s="410">
        <v>12</v>
      </c>
      <c r="C32" s="20" t="s">
        <v>4632</v>
      </c>
      <c r="D32" s="20" t="s">
        <v>1531</v>
      </c>
      <c r="E32" s="20" t="s">
        <v>1751</v>
      </c>
      <c r="F32" s="20" t="str">
        <f>"0,6250"</f>
        <v>0,6250</v>
      </c>
      <c r="G32" s="20" t="s">
        <v>14</v>
      </c>
      <c r="H32" s="20" t="s">
        <v>1643</v>
      </c>
      <c r="I32" s="134" t="s">
        <v>190</v>
      </c>
      <c r="J32" s="134" t="s">
        <v>237</v>
      </c>
      <c r="K32" s="45" t="s">
        <v>239</v>
      </c>
      <c r="L32" s="31"/>
      <c r="M32" s="34">
        <v>220</v>
      </c>
      <c r="N32" s="33" t="str">
        <f>"137,5000"</f>
        <v>137,5000</v>
      </c>
      <c r="O32" s="20" t="s">
        <v>1665</v>
      </c>
    </row>
    <row r="34" spans="3:14" ht="15.75">
      <c r="C34" s="541" t="s">
        <v>4126</v>
      </c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</row>
    <row r="35" spans="1:15" ht="12.75">
      <c r="A35" s="29">
        <v>1</v>
      </c>
      <c r="B35" s="410">
        <v>24</v>
      </c>
      <c r="C35" s="83" t="s">
        <v>4631</v>
      </c>
      <c r="D35" s="17" t="s">
        <v>918</v>
      </c>
      <c r="E35" s="84" t="s">
        <v>1752</v>
      </c>
      <c r="F35" s="17" t="str">
        <f>"0,5902"</f>
        <v>0,5902</v>
      </c>
      <c r="G35" s="84" t="s">
        <v>130</v>
      </c>
      <c r="H35" s="17" t="s">
        <v>2245</v>
      </c>
      <c r="I35" s="147" t="s">
        <v>914</v>
      </c>
      <c r="J35" s="46" t="s">
        <v>920</v>
      </c>
      <c r="K35" s="147" t="s">
        <v>915</v>
      </c>
      <c r="L35" s="36"/>
      <c r="M35" s="151">
        <v>345</v>
      </c>
      <c r="N35" s="35" t="str">
        <f>"203,6190"</f>
        <v>203,6190</v>
      </c>
      <c r="O35" s="88" t="s">
        <v>51</v>
      </c>
    </row>
    <row r="36" spans="3:15" ht="12.75">
      <c r="C36" s="94" t="s">
        <v>921</v>
      </c>
      <c r="D36" s="19" t="s">
        <v>922</v>
      </c>
      <c r="E36" s="98" t="s">
        <v>293</v>
      </c>
      <c r="F36" s="19" t="str">
        <f>"0,5903"</f>
        <v>0,5903</v>
      </c>
      <c r="G36" s="98" t="s">
        <v>31</v>
      </c>
      <c r="H36" s="19" t="s">
        <v>1641</v>
      </c>
      <c r="I36" s="153" t="s">
        <v>924</v>
      </c>
      <c r="J36" s="48" t="s">
        <v>924</v>
      </c>
      <c r="K36" s="153" t="s">
        <v>924</v>
      </c>
      <c r="L36" s="42"/>
      <c r="M36" s="152">
        <v>0</v>
      </c>
      <c r="N36" s="41" t="s">
        <v>1639</v>
      </c>
      <c r="O36" s="95" t="s">
        <v>2040</v>
      </c>
    </row>
    <row r="38" spans="3:14" ht="15.75">
      <c r="C38" s="541" t="s">
        <v>4127</v>
      </c>
      <c r="D38" s="541"/>
      <c r="E38" s="541"/>
      <c r="F38" s="541"/>
      <c r="G38" s="541"/>
      <c r="H38" s="541"/>
      <c r="I38" s="541"/>
      <c r="J38" s="541"/>
      <c r="K38" s="541"/>
      <c r="L38" s="541"/>
      <c r="M38" s="541"/>
      <c r="N38" s="541"/>
    </row>
    <row r="39" spans="1:15" ht="12.75">
      <c r="A39" s="29">
        <v>1</v>
      </c>
      <c r="B39" s="410">
        <v>24</v>
      </c>
      <c r="C39" s="20" t="s">
        <v>4636</v>
      </c>
      <c r="D39" s="20" t="s">
        <v>1533</v>
      </c>
      <c r="E39" s="20" t="s">
        <v>1753</v>
      </c>
      <c r="F39" s="20" t="str">
        <f>"0,5733"</f>
        <v>0,5733</v>
      </c>
      <c r="G39" s="20" t="s">
        <v>14</v>
      </c>
      <c r="H39" s="20" t="s">
        <v>1643</v>
      </c>
      <c r="I39" s="134" t="s">
        <v>860</v>
      </c>
      <c r="J39" s="134" t="s">
        <v>836</v>
      </c>
      <c r="K39" s="45" t="s">
        <v>1396</v>
      </c>
      <c r="L39" s="31"/>
      <c r="M39" s="34">
        <v>320</v>
      </c>
      <c r="N39" s="33" t="str">
        <f>"183,4560"</f>
        <v>183,4560</v>
      </c>
      <c r="O39" s="20" t="s">
        <v>51</v>
      </c>
    </row>
    <row r="41" spans="3:14" ht="15.75">
      <c r="C41" s="541" t="s">
        <v>4128</v>
      </c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</row>
    <row r="42" spans="1:15" ht="12.75">
      <c r="A42" s="29">
        <v>1</v>
      </c>
      <c r="B42" s="410">
        <v>24</v>
      </c>
      <c r="C42" s="20" t="s">
        <v>4635</v>
      </c>
      <c r="D42" s="20" t="s">
        <v>1535</v>
      </c>
      <c r="E42" s="20" t="s">
        <v>1754</v>
      </c>
      <c r="F42" s="20" t="str">
        <f>"0,5689"</f>
        <v>0,5689</v>
      </c>
      <c r="G42" s="20" t="s">
        <v>54</v>
      </c>
      <c r="H42" s="20" t="s">
        <v>1641</v>
      </c>
      <c r="I42" s="134" t="s">
        <v>920</v>
      </c>
      <c r="J42" s="45" t="s">
        <v>900</v>
      </c>
      <c r="K42" s="45" t="s">
        <v>900</v>
      </c>
      <c r="L42" s="31"/>
      <c r="M42" s="34">
        <v>340</v>
      </c>
      <c r="N42" s="33" t="str">
        <f>"193,4260"</f>
        <v>193,4260</v>
      </c>
      <c r="O42" s="20" t="s">
        <v>1756</v>
      </c>
    </row>
    <row r="44" spans="3:14" ht="15.75">
      <c r="C44" s="541" t="s">
        <v>4129</v>
      </c>
      <c r="D44" s="541"/>
      <c r="E44" s="541"/>
      <c r="F44" s="541"/>
      <c r="G44" s="541"/>
      <c r="H44" s="541"/>
      <c r="I44" s="541"/>
      <c r="J44" s="541"/>
      <c r="K44" s="541"/>
      <c r="L44" s="541"/>
      <c r="M44" s="541"/>
      <c r="N44" s="541"/>
    </row>
    <row r="45" spans="1:15" ht="12.75">
      <c r="A45" s="29">
        <v>1</v>
      </c>
      <c r="C45" s="17" t="s">
        <v>4403</v>
      </c>
      <c r="D45" s="17" t="s">
        <v>366</v>
      </c>
      <c r="E45" s="17" t="s">
        <v>108</v>
      </c>
      <c r="F45" s="17" t="str">
        <f>"0,5339"</f>
        <v>0,5339</v>
      </c>
      <c r="G45" s="17" t="s">
        <v>1536</v>
      </c>
      <c r="H45" s="17" t="s">
        <v>2140</v>
      </c>
      <c r="I45" s="138" t="s">
        <v>860</v>
      </c>
      <c r="J45" s="138" t="s">
        <v>920</v>
      </c>
      <c r="K45" s="46" t="s">
        <v>1249</v>
      </c>
      <c r="L45" s="36"/>
      <c r="M45" s="44">
        <v>340</v>
      </c>
      <c r="N45" s="35" t="str">
        <f>"181,5260"</f>
        <v>181,5260</v>
      </c>
      <c r="O45" s="17" t="s">
        <v>51</v>
      </c>
    </row>
    <row r="46" spans="1:15" ht="12.75">
      <c r="A46" s="29">
        <v>1</v>
      </c>
      <c r="C46" s="19" t="s">
        <v>365</v>
      </c>
      <c r="D46" s="19" t="s">
        <v>369</v>
      </c>
      <c r="E46" s="19" t="s">
        <v>108</v>
      </c>
      <c r="F46" s="19" t="str">
        <f>"0,5339"</f>
        <v>0,5339</v>
      </c>
      <c r="G46" s="19" t="s">
        <v>1536</v>
      </c>
      <c r="H46" s="19" t="s">
        <v>2140</v>
      </c>
      <c r="I46" s="139" t="s">
        <v>860</v>
      </c>
      <c r="J46" s="139" t="s">
        <v>920</v>
      </c>
      <c r="K46" s="48" t="s">
        <v>1249</v>
      </c>
      <c r="L46" s="42"/>
      <c r="M46" s="43">
        <v>340</v>
      </c>
      <c r="N46" s="41" t="str">
        <f>"181,5260"</f>
        <v>181,5260</v>
      </c>
      <c r="O46" s="19" t="s">
        <v>51</v>
      </c>
    </row>
    <row r="48" spans="3:4" ht="18">
      <c r="C48" s="16" t="s">
        <v>370</v>
      </c>
      <c r="D48" s="16"/>
    </row>
    <row r="49" spans="3:4" ht="15.75">
      <c r="C49" s="22" t="s">
        <v>371</v>
      </c>
      <c r="D49" s="22"/>
    </row>
    <row r="50" spans="3:4" ht="13.5">
      <c r="C50" s="24"/>
      <c r="D50" s="25" t="s">
        <v>2102</v>
      </c>
    </row>
    <row r="51" spans="3:7" ht="13.5">
      <c r="C51" s="26" t="s">
        <v>373</v>
      </c>
      <c r="D51" s="26" t="s">
        <v>374</v>
      </c>
      <c r="E51" s="26" t="s">
        <v>375</v>
      </c>
      <c r="F51" s="26" t="s">
        <v>376</v>
      </c>
      <c r="G51" s="26" t="s">
        <v>377</v>
      </c>
    </row>
    <row r="52" spans="1:7" ht="12.75">
      <c r="A52" s="29">
        <v>1</v>
      </c>
      <c r="C52" s="23" t="s">
        <v>802</v>
      </c>
      <c r="D52" s="49" t="s">
        <v>372</v>
      </c>
      <c r="E52" s="49" t="s">
        <v>383</v>
      </c>
      <c r="F52" s="49" t="s">
        <v>238</v>
      </c>
      <c r="G52" s="50" t="s">
        <v>1537</v>
      </c>
    </row>
    <row r="53" spans="1:7" ht="12.75">
      <c r="A53" s="29">
        <v>2</v>
      </c>
      <c r="C53" s="23" t="s">
        <v>1519</v>
      </c>
      <c r="D53" s="49" t="s">
        <v>372</v>
      </c>
      <c r="E53" s="49" t="s">
        <v>380</v>
      </c>
      <c r="F53" s="49" t="s">
        <v>447</v>
      </c>
      <c r="G53" s="50" t="s">
        <v>1538</v>
      </c>
    </row>
    <row r="54" spans="1:7" ht="12.75">
      <c r="A54" s="29">
        <v>3</v>
      </c>
      <c r="C54" s="23" t="s">
        <v>1358</v>
      </c>
      <c r="D54" s="49" t="s">
        <v>372</v>
      </c>
      <c r="E54" s="49" t="s">
        <v>764</v>
      </c>
      <c r="F54" s="49" t="s">
        <v>303</v>
      </c>
      <c r="G54" s="50" t="s">
        <v>1539</v>
      </c>
    </row>
    <row r="56" spans="3:4" ht="15.75">
      <c r="C56" s="22" t="s">
        <v>387</v>
      </c>
      <c r="D56" s="22"/>
    </row>
    <row r="57" spans="3:4" ht="13.5">
      <c r="C57" s="24"/>
      <c r="D57" s="25" t="s">
        <v>2102</v>
      </c>
    </row>
    <row r="58" spans="3:7" ht="13.5">
      <c r="C58" s="26" t="s">
        <v>373</v>
      </c>
      <c r="D58" s="26" t="s">
        <v>374</v>
      </c>
      <c r="E58" s="26" t="s">
        <v>375</v>
      </c>
      <c r="F58" s="26" t="s">
        <v>376</v>
      </c>
      <c r="G58" s="26" t="s">
        <v>377</v>
      </c>
    </row>
    <row r="59" spans="1:7" ht="12.75">
      <c r="A59" s="29">
        <v>1</v>
      </c>
      <c r="C59" s="23" t="s">
        <v>917</v>
      </c>
      <c r="D59" s="49" t="s">
        <v>372</v>
      </c>
      <c r="E59" s="49" t="s">
        <v>392</v>
      </c>
      <c r="F59" s="49" t="s">
        <v>915</v>
      </c>
      <c r="G59" s="50" t="s">
        <v>1540</v>
      </c>
    </row>
    <row r="60" spans="1:7" ht="12.75">
      <c r="A60" s="29">
        <v>2</v>
      </c>
      <c r="C60" s="23" t="s">
        <v>1534</v>
      </c>
      <c r="D60" s="49" t="s">
        <v>372</v>
      </c>
      <c r="E60" s="49" t="s">
        <v>400</v>
      </c>
      <c r="F60" s="49" t="s">
        <v>920</v>
      </c>
      <c r="G60" s="50" t="s">
        <v>1541</v>
      </c>
    </row>
    <row r="61" spans="1:7" ht="12.75">
      <c r="A61" s="29">
        <v>3</v>
      </c>
      <c r="C61" s="23" t="s">
        <v>1532</v>
      </c>
      <c r="D61" s="49" t="s">
        <v>372</v>
      </c>
      <c r="E61" s="49" t="s">
        <v>389</v>
      </c>
      <c r="F61" s="49" t="s">
        <v>836</v>
      </c>
      <c r="G61" s="50" t="s">
        <v>1542</v>
      </c>
    </row>
    <row r="62" spans="3:4" ht="13.5">
      <c r="C62" s="24"/>
      <c r="D62" s="25" t="s">
        <v>2102</v>
      </c>
    </row>
    <row r="63" spans="3:7" ht="13.5">
      <c r="C63" s="26" t="s">
        <v>373</v>
      </c>
      <c r="D63" s="26" t="s">
        <v>374</v>
      </c>
      <c r="E63" s="26" t="s">
        <v>375</v>
      </c>
      <c r="F63" s="26" t="s">
        <v>376</v>
      </c>
      <c r="G63" s="26" t="s">
        <v>377</v>
      </c>
    </row>
    <row r="64" spans="1:7" ht="12.75">
      <c r="A64" s="29">
        <v>1</v>
      </c>
      <c r="C64" s="23" t="s">
        <v>1525</v>
      </c>
      <c r="D64" s="49" t="s">
        <v>384</v>
      </c>
      <c r="E64" s="49" t="s">
        <v>378</v>
      </c>
      <c r="F64" s="49" t="s">
        <v>992</v>
      </c>
      <c r="G64" s="50" t="s">
        <v>1544</v>
      </c>
    </row>
    <row r="65" spans="1:7" ht="12.75">
      <c r="A65" s="29">
        <v>2</v>
      </c>
      <c r="C65" s="23" t="s">
        <v>891</v>
      </c>
      <c r="D65" s="49" t="s">
        <v>384</v>
      </c>
      <c r="E65" s="49" t="s">
        <v>404</v>
      </c>
      <c r="F65" s="49" t="s">
        <v>319</v>
      </c>
      <c r="G65" s="50" t="s">
        <v>1545</v>
      </c>
    </row>
    <row r="66" spans="1:7" ht="12.75">
      <c r="A66" s="29">
        <v>3</v>
      </c>
      <c r="C66" s="23" t="s">
        <v>365</v>
      </c>
      <c r="D66" s="49" t="s">
        <v>386</v>
      </c>
      <c r="E66" s="49" t="s">
        <v>405</v>
      </c>
      <c r="F66" s="49" t="s">
        <v>920</v>
      </c>
      <c r="G66" s="50" t="s">
        <v>1543</v>
      </c>
    </row>
  </sheetData>
  <sheetProtection/>
  <mergeCells count="28">
    <mergeCell ref="M3:M4"/>
    <mergeCell ref="N3:N4"/>
    <mergeCell ref="O3:O4"/>
    <mergeCell ref="C17:N17"/>
    <mergeCell ref="C20:N20"/>
    <mergeCell ref="C25:N25"/>
    <mergeCell ref="C11:N11"/>
    <mergeCell ref="C14:N14"/>
    <mergeCell ref="C38:N38"/>
    <mergeCell ref="A3:A4"/>
    <mergeCell ref="D3:D4"/>
    <mergeCell ref="E3:E4"/>
    <mergeCell ref="F3:F4"/>
    <mergeCell ref="G3:G4"/>
    <mergeCell ref="H3:H4"/>
    <mergeCell ref="I3:L3"/>
    <mergeCell ref="C31:N31"/>
    <mergeCell ref="C34:N34"/>
    <mergeCell ref="A1:A2"/>
    <mergeCell ref="B1:B2"/>
    <mergeCell ref="C1:O1"/>
    <mergeCell ref="C2:O2"/>
    <mergeCell ref="C41:N41"/>
    <mergeCell ref="C44:N44"/>
    <mergeCell ref="C3:C4"/>
    <mergeCell ref="B3:B4"/>
    <mergeCell ref="C5:N5"/>
    <mergeCell ref="C8:N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67"/>
  <sheetViews>
    <sheetView workbookViewId="0" topLeftCell="A100">
      <selection activeCell="C123" sqref="C123"/>
    </sheetView>
  </sheetViews>
  <sheetFormatPr defaultColWidth="8.75390625" defaultRowHeight="12.75"/>
  <cols>
    <col min="1" max="1" width="8.00390625" style="29" customWidth="1"/>
    <col min="2" max="2" width="11.75390625" style="445" customWidth="1"/>
    <col min="3" max="3" width="29.25390625" style="15" customWidth="1"/>
    <col min="4" max="4" width="27.125" style="15" bestFit="1" customWidth="1"/>
    <col min="5" max="5" width="10.625" style="15" bestFit="1" customWidth="1"/>
    <col min="6" max="6" width="8.375" style="15" bestFit="1" customWidth="1"/>
    <col min="7" max="7" width="27.875" style="15" customWidth="1"/>
    <col min="8" max="8" width="32.375" style="15" customWidth="1"/>
    <col min="9" max="12" width="5.625" style="15" bestFit="1" customWidth="1"/>
    <col min="13" max="13" width="11.75390625" style="30" customWidth="1"/>
    <col min="14" max="14" width="8.625" style="15" bestFit="1" customWidth="1"/>
    <col min="15" max="15" width="17.875" style="15" customWidth="1"/>
  </cols>
  <sheetData>
    <row r="1" spans="1:15" s="1" customFormat="1" ht="15" customHeight="1">
      <c r="A1" s="28"/>
      <c r="B1" s="443"/>
      <c r="C1" s="552" t="s">
        <v>2141</v>
      </c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</row>
    <row r="2" spans="1:15" s="1" customFormat="1" ht="105.75" customHeight="1" thickBot="1">
      <c r="A2" s="28"/>
      <c r="B2" s="44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</row>
    <row r="3" spans="1:15" s="2" customFormat="1" ht="12.75" customHeight="1">
      <c r="A3" s="546" t="s">
        <v>1627</v>
      </c>
      <c r="B3" s="516" t="s">
        <v>4516</v>
      </c>
      <c r="C3" s="542" t="s">
        <v>0</v>
      </c>
      <c r="D3" s="548" t="s">
        <v>1628</v>
      </c>
      <c r="E3" s="548" t="s">
        <v>1629</v>
      </c>
      <c r="F3" s="542" t="s">
        <v>9</v>
      </c>
      <c r="G3" s="542" t="s">
        <v>7</v>
      </c>
      <c r="H3" s="514" t="s">
        <v>3275</v>
      </c>
      <c r="I3" s="542" t="s">
        <v>3</v>
      </c>
      <c r="J3" s="542"/>
      <c r="K3" s="542"/>
      <c r="L3" s="542"/>
      <c r="M3" s="550" t="s">
        <v>1672</v>
      </c>
      <c r="N3" s="542" t="s">
        <v>6</v>
      </c>
      <c r="O3" s="544" t="s">
        <v>5</v>
      </c>
    </row>
    <row r="4" spans="1:15" s="2" customFormat="1" ht="21" customHeight="1" thickBot="1">
      <c r="A4" s="547"/>
      <c r="B4" s="517"/>
      <c r="C4" s="543"/>
      <c r="D4" s="543"/>
      <c r="E4" s="549"/>
      <c r="F4" s="543"/>
      <c r="G4" s="543"/>
      <c r="H4" s="515"/>
      <c r="I4" s="3">
        <v>1</v>
      </c>
      <c r="J4" s="3">
        <v>2</v>
      </c>
      <c r="K4" s="3">
        <v>3</v>
      </c>
      <c r="L4" s="3" t="s">
        <v>8</v>
      </c>
      <c r="M4" s="551"/>
      <c r="N4" s="543"/>
      <c r="O4" s="545"/>
    </row>
    <row r="5" spans="2:14" ht="15.75">
      <c r="B5" s="410"/>
      <c r="C5" s="526" t="s">
        <v>412</v>
      </c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</row>
    <row r="6" spans="1:15" ht="12.75">
      <c r="A6" s="29">
        <v>1</v>
      </c>
      <c r="B6" s="469">
        <v>12</v>
      </c>
      <c r="C6" s="17" t="s">
        <v>4133</v>
      </c>
      <c r="D6" s="17" t="s">
        <v>1431</v>
      </c>
      <c r="E6" s="17" t="s">
        <v>1676</v>
      </c>
      <c r="F6" s="17" t="str">
        <f>"1,3636"</f>
        <v>1,3636</v>
      </c>
      <c r="G6" s="17" t="s">
        <v>130</v>
      </c>
      <c r="H6" s="17" t="s">
        <v>1642</v>
      </c>
      <c r="I6" s="138" t="s">
        <v>56</v>
      </c>
      <c r="J6" s="138" t="s">
        <v>474</v>
      </c>
      <c r="K6" s="138" t="s">
        <v>49</v>
      </c>
      <c r="L6" s="36"/>
      <c r="M6" s="44">
        <v>90</v>
      </c>
      <c r="N6" s="35" t="str">
        <f>"122,7240"</f>
        <v>122,7240</v>
      </c>
      <c r="O6" s="17" t="s">
        <v>1673</v>
      </c>
    </row>
    <row r="7" spans="1:15" ht="12.75">
      <c r="A7" s="29">
        <v>1</v>
      </c>
      <c r="B7" s="469">
        <v>24</v>
      </c>
      <c r="C7" s="19" t="s">
        <v>4134</v>
      </c>
      <c r="D7" s="19" t="s">
        <v>1432</v>
      </c>
      <c r="E7" s="19" t="s">
        <v>1758</v>
      </c>
      <c r="F7" s="19" t="str">
        <f>"1,3244"</f>
        <v>1,3244</v>
      </c>
      <c r="G7" s="19" t="s">
        <v>14</v>
      </c>
      <c r="H7" s="19" t="s">
        <v>1642</v>
      </c>
      <c r="I7" s="139" t="s">
        <v>303</v>
      </c>
      <c r="J7" s="139" t="s">
        <v>25</v>
      </c>
      <c r="K7" s="139" t="s">
        <v>446</v>
      </c>
      <c r="L7" s="42"/>
      <c r="M7" s="43">
        <v>115</v>
      </c>
      <c r="N7" s="41" t="str">
        <f>"152,3060"</f>
        <v>152,3060</v>
      </c>
      <c r="O7" s="19" t="s">
        <v>1664</v>
      </c>
    </row>
    <row r="8" ht="12.75">
      <c r="B8" s="470"/>
    </row>
    <row r="9" spans="2:14" ht="15.75">
      <c r="B9" s="469"/>
      <c r="C9" s="541" t="s">
        <v>66</v>
      </c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</row>
    <row r="10" spans="1:15" ht="12.75">
      <c r="A10" s="29">
        <v>1</v>
      </c>
      <c r="B10" s="469">
        <v>12</v>
      </c>
      <c r="C10" s="17" t="s">
        <v>4135</v>
      </c>
      <c r="D10" s="17" t="s">
        <v>1433</v>
      </c>
      <c r="E10" s="17" t="s">
        <v>1705</v>
      </c>
      <c r="F10" s="17" t="str">
        <f>"1,2597"</f>
        <v>1,2597</v>
      </c>
      <c r="G10" s="17" t="s">
        <v>125</v>
      </c>
      <c r="H10" s="83" t="s">
        <v>445</v>
      </c>
      <c r="I10" s="138" t="s">
        <v>33</v>
      </c>
      <c r="J10" s="142" t="s">
        <v>452</v>
      </c>
      <c r="K10" s="138" t="s">
        <v>471</v>
      </c>
      <c r="L10" s="86"/>
      <c r="M10" s="44">
        <v>105</v>
      </c>
      <c r="N10" s="110" t="str">
        <f>"132,2685"</f>
        <v>132,2685</v>
      </c>
      <c r="O10" s="17" t="s">
        <v>1698</v>
      </c>
    </row>
    <row r="11" spans="1:15" ht="12.75">
      <c r="A11" s="29">
        <v>2</v>
      </c>
      <c r="B11" s="469"/>
      <c r="C11" s="19" t="s">
        <v>4136</v>
      </c>
      <c r="D11" s="19" t="s">
        <v>426</v>
      </c>
      <c r="E11" s="19" t="s">
        <v>1630</v>
      </c>
      <c r="F11" s="19" t="str">
        <f>"1,2466"</f>
        <v>1,2466</v>
      </c>
      <c r="G11" s="19" t="s">
        <v>31</v>
      </c>
      <c r="H11" s="94" t="s">
        <v>1737</v>
      </c>
      <c r="I11" s="139" t="s">
        <v>471</v>
      </c>
      <c r="J11" s="48" t="s">
        <v>25</v>
      </c>
      <c r="K11" s="48" t="s">
        <v>25</v>
      </c>
      <c r="L11" s="99"/>
      <c r="M11" s="43">
        <v>105</v>
      </c>
      <c r="N11" s="111" t="s">
        <v>2156</v>
      </c>
      <c r="O11" s="19" t="s">
        <v>51</v>
      </c>
    </row>
    <row r="12" ht="12.75">
      <c r="B12" s="470"/>
    </row>
    <row r="13" spans="2:14" ht="15.75">
      <c r="B13" s="469"/>
      <c r="C13" s="541" t="s">
        <v>10</v>
      </c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41"/>
    </row>
    <row r="14" spans="1:15" ht="12.75">
      <c r="A14" s="29">
        <v>1</v>
      </c>
      <c r="B14" s="469">
        <v>24</v>
      </c>
      <c r="C14" s="17" t="s">
        <v>4137</v>
      </c>
      <c r="D14" s="17" t="s">
        <v>1434</v>
      </c>
      <c r="E14" s="17" t="s">
        <v>1706</v>
      </c>
      <c r="F14" s="17" t="str">
        <f>"1,1900"</f>
        <v>1,1900</v>
      </c>
      <c r="G14" s="17" t="s">
        <v>125</v>
      </c>
      <c r="H14" s="83" t="s">
        <v>445</v>
      </c>
      <c r="I14" s="138" t="s">
        <v>446</v>
      </c>
      <c r="J14" s="138" t="s">
        <v>447</v>
      </c>
      <c r="K14" s="138" t="s">
        <v>100</v>
      </c>
      <c r="L14" s="101"/>
      <c r="M14" s="44">
        <v>127.5</v>
      </c>
      <c r="N14" s="35" t="str">
        <f>"151,7250"</f>
        <v>151,7250</v>
      </c>
      <c r="O14" s="17" t="s">
        <v>1699</v>
      </c>
    </row>
    <row r="15" spans="1:15" ht="12.75">
      <c r="A15" s="29">
        <v>1</v>
      </c>
      <c r="B15" s="469">
        <v>12</v>
      </c>
      <c r="C15" s="18" t="s">
        <v>4138</v>
      </c>
      <c r="D15" s="18" t="s">
        <v>1435</v>
      </c>
      <c r="E15" s="18" t="s">
        <v>1759</v>
      </c>
      <c r="F15" s="18" t="str">
        <f>"1,2054"</f>
        <v>1,2054</v>
      </c>
      <c r="G15" s="18" t="s">
        <v>2104</v>
      </c>
      <c r="H15" s="92" t="s">
        <v>1436</v>
      </c>
      <c r="I15" s="143" t="s">
        <v>471</v>
      </c>
      <c r="J15" s="140" t="s">
        <v>446</v>
      </c>
      <c r="K15" s="103" t="s">
        <v>447</v>
      </c>
      <c r="L15" s="102"/>
      <c r="M15" s="40">
        <v>115</v>
      </c>
      <c r="N15" s="38" t="str">
        <f>"138,6210"</f>
        <v>138,6210</v>
      </c>
      <c r="O15" s="18" t="s">
        <v>1670</v>
      </c>
    </row>
    <row r="16" spans="1:15" ht="12.75">
      <c r="A16" s="29">
        <v>2</v>
      </c>
      <c r="B16" s="469"/>
      <c r="C16" s="19" t="s">
        <v>4139</v>
      </c>
      <c r="D16" s="19" t="s">
        <v>1293</v>
      </c>
      <c r="E16" s="19" t="s">
        <v>1760</v>
      </c>
      <c r="F16" s="19" t="str">
        <f>"1,1866"</f>
        <v>1,1866</v>
      </c>
      <c r="G16" s="19" t="s">
        <v>31</v>
      </c>
      <c r="H16" s="94" t="s">
        <v>1642</v>
      </c>
      <c r="I16" s="144" t="s">
        <v>49</v>
      </c>
      <c r="J16" s="139" t="s">
        <v>33</v>
      </c>
      <c r="K16" s="145" t="s">
        <v>303</v>
      </c>
      <c r="L16" s="109"/>
      <c r="M16" s="43">
        <v>100</v>
      </c>
      <c r="N16" s="41" t="str">
        <f>"118,6600"</f>
        <v>118,6600</v>
      </c>
      <c r="O16" s="19" t="s">
        <v>1809</v>
      </c>
    </row>
    <row r="17" ht="12.75">
      <c r="B17" s="470"/>
    </row>
    <row r="18" spans="2:14" ht="15.75">
      <c r="B18" s="469"/>
      <c r="C18" s="541" t="s">
        <v>80</v>
      </c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</row>
    <row r="19" spans="1:15" ht="12.75">
      <c r="A19" s="29">
        <v>1</v>
      </c>
      <c r="B19" s="469">
        <v>24</v>
      </c>
      <c r="C19" s="17" t="s">
        <v>4140</v>
      </c>
      <c r="D19" s="88" t="s">
        <v>1437</v>
      </c>
      <c r="E19" s="17" t="s">
        <v>1761</v>
      </c>
      <c r="F19" s="17" t="str">
        <f>"1,1281"</f>
        <v>1,1281</v>
      </c>
      <c r="G19" s="17" t="s">
        <v>14</v>
      </c>
      <c r="H19" s="17" t="s">
        <v>1642</v>
      </c>
      <c r="I19" s="138" t="s">
        <v>101</v>
      </c>
      <c r="J19" s="142" t="s">
        <v>480</v>
      </c>
      <c r="K19" s="138" t="s">
        <v>131</v>
      </c>
      <c r="L19" s="101"/>
      <c r="M19" s="44">
        <v>145</v>
      </c>
      <c r="N19" s="35" t="str">
        <f>"163,5745"</f>
        <v>163,5745</v>
      </c>
      <c r="O19" s="17" t="s">
        <v>1810</v>
      </c>
    </row>
    <row r="20" spans="1:15" ht="12.75">
      <c r="A20" s="29">
        <v>1</v>
      </c>
      <c r="B20" s="469">
        <v>30</v>
      </c>
      <c r="C20" s="18" t="s">
        <v>4130</v>
      </c>
      <c r="D20" s="93" t="s">
        <v>1438</v>
      </c>
      <c r="E20" s="18" t="s">
        <v>94</v>
      </c>
      <c r="F20" s="18" t="str">
        <f>"1,1149"</f>
        <v>1,1149</v>
      </c>
      <c r="G20" s="18" t="s">
        <v>2154</v>
      </c>
      <c r="H20" s="18" t="s">
        <v>1737</v>
      </c>
      <c r="I20" s="140" t="s">
        <v>89</v>
      </c>
      <c r="J20" s="143" t="s">
        <v>480</v>
      </c>
      <c r="K20" s="140" t="s">
        <v>132</v>
      </c>
      <c r="L20" s="102"/>
      <c r="M20" s="40">
        <v>150</v>
      </c>
      <c r="N20" s="38" t="str">
        <f>"167,2350"</f>
        <v>167,2350</v>
      </c>
      <c r="O20" s="18" t="s">
        <v>1811</v>
      </c>
    </row>
    <row r="21" spans="1:15" ht="12.75">
      <c r="A21" s="29">
        <v>1</v>
      </c>
      <c r="B21" s="469">
        <v>36</v>
      </c>
      <c r="C21" s="18" t="s">
        <v>4141</v>
      </c>
      <c r="D21" s="93" t="s">
        <v>1441</v>
      </c>
      <c r="E21" s="18" t="s">
        <v>1747</v>
      </c>
      <c r="F21" s="18" t="str">
        <f>"1,1251"</f>
        <v>1,1251</v>
      </c>
      <c r="G21" s="18" t="s">
        <v>2104</v>
      </c>
      <c r="H21" s="18" t="s">
        <v>1642</v>
      </c>
      <c r="I21" s="140" t="s">
        <v>64</v>
      </c>
      <c r="J21" s="143" t="s">
        <v>153</v>
      </c>
      <c r="K21" s="140" t="s">
        <v>269</v>
      </c>
      <c r="L21" s="102"/>
      <c r="M21" s="40">
        <v>177.5</v>
      </c>
      <c r="N21" s="38" t="str">
        <f>"199,7053"</f>
        <v>199,7053</v>
      </c>
      <c r="O21" s="18" t="s">
        <v>1812</v>
      </c>
    </row>
    <row r="22" spans="1:15" ht="12.75">
      <c r="A22" s="29">
        <v>2</v>
      </c>
      <c r="B22" s="469">
        <v>33</v>
      </c>
      <c r="C22" s="18" t="s">
        <v>4142</v>
      </c>
      <c r="D22" s="93" t="s">
        <v>1080</v>
      </c>
      <c r="E22" s="18" t="s">
        <v>1762</v>
      </c>
      <c r="F22" s="18" t="str">
        <f>"1,1236"</f>
        <v>1,1236</v>
      </c>
      <c r="G22" s="18" t="s">
        <v>2104</v>
      </c>
      <c r="H22" s="92" t="s">
        <v>893</v>
      </c>
      <c r="I22" s="140" t="s">
        <v>183</v>
      </c>
      <c r="J22" s="146" t="s">
        <v>153</v>
      </c>
      <c r="K22" s="47" t="s">
        <v>126</v>
      </c>
      <c r="L22" s="102"/>
      <c r="M22" s="40">
        <v>170</v>
      </c>
      <c r="N22" s="38" t="str">
        <f>"191,0120"</f>
        <v>191,0120</v>
      </c>
      <c r="O22" s="18" t="s">
        <v>1813</v>
      </c>
    </row>
    <row r="23" spans="1:15" ht="12.75">
      <c r="A23" s="29">
        <v>3</v>
      </c>
      <c r="B23" s="469"/>
      <c r="C23" s="18" t="s">
        <v>4143</v>
      </c>
      <c r="D23" s="93" t="s">
        <v>1443</v>
      </c>
      <c r="E23" s="18" t="s">
        <v>1763</v>
      </c>
      <c r="F23" s="18" t="str">
        <f>"1,1401"</f>
        <v>1,1401</v>
      </c>
      <c r="G23" s="18" t="s">
        <v>31</v>
      </c>
      <c r="H23" s="18" t="s">
        <v>1245</v>
      </c>
      <c r="I23" s="140" t="s">
        <v>551</v>
      </c>
      <c r="J23" s="143" t="s">
        <v>136</v>
      </c>
      <c r="K23" s="140" t="s">
        <v>132</v>
      </c>
      <c r="L23" s="102"/>
      <c r="M23" s="40">
        <v>150</v>
      </c>
      <c r="N23" s="38" t="str">
        <f>"171,0150"</f>
        <v>171,0150</v>
      </c>
      <c r="O23" s="18" t="s">
        <v>1814</v>
      </c>
    </row>
    <row r="24" spans="1:15" ht="12.75">
      <c r="A24" s="29">
        <v>4</v>
      </c>
      <c r="B24" s="469">
        <v>25</v>
      </c>
      <c r="C24" s="19" t="s">
        <v>4130</v>
      </c>
      <c r="D24" s="95" t="s">
        <v>1444</v>
      </c>
      <c r="E24" s="19" t="s">
        <v>94</v>
      </c>
      <c r="F24" s="19" t="str">
        <f>"1,1149"</f>
        <v>1,1149</v>
      </c>
      <c r="G24" s="19" t="s">
        <v>1439</v>
      </c>
      <c r="H24" s="19" t="s">
        <v>1737</v>
      </c>
      <c r="I24" s="139" t="s">
        <v>89</v>
      </c>
      <c r="J24" s="143" t="s">
        <v>480</v>
      </c>
      <c r="K24" s="139" t="s">
        <v>132</v>
      </c>
      <c r="L24" s="109"/>
      <c r="M24" s="43">
        <v>150</v>
      </c>
      <c r="N24" s="41" t="str">
        <f>"167,2350"</f>
        <v>167,2350</v>
      </c>
      <c r="O24" s="19" t="s">
        <v>1811</v>
      </c>
    </row>
    <row r="25" ht="12.75">
      <c r="B25" s="470"/>
    </row>
    <row r="26" spans="2:14" ht="15.75">
      <c r="B26" s="469"/>
      <c r="C26" s="541" t="s">
        <v>18</v>
      </c>
      <c r="D26" s="541"/>
      <c r="E26" s="541"/>
      <c r="F26" s="541"/>
      <c r="G26" s="541"/>
      <c r="H26" s="541"/>
      <c r="I26" s="541"/>
      <c r="J26" s="541"/>
      <c r="K26" s="541"/>
      <c r="L26" s="541"/>
      <c r="M26" s="541"/>
      <c r="N26" s="541"/>
    </row>
    <row r="27" spans="1:15" ht="12.75">
      <c r="A27" s="29">
        <v>1</v>
      </c>
      <c r="B27" s="469">
        <v>30</v>
      </c>
      <c r="C27" s="17" t="s">
        <v>4132</v>
      </c>
      <c r="D27" s="88" t="s">
        <v>1448</v>
      </c>
      <c r="E27" s="84" t="s">
        <v>1768</v>
      </c>
      <c r="F27" s="17" t="str">
        <f>"1,0385"</f>
        <v>1,0385</v>
      </c>
      <c r="G27" s="84" t="s">
        <v>14</v>
      </c>
      <c r="H27" s="17" t="s">
        <v>1642</v>
      </c>
      <c r="I27" s="138" t="s">
        <v>77</v>
      </c>
      <c r="J27" s="46" t="s">
        <v>555</v>
      </c>
      <c r="K27" s="46" t="s">
        <v>555</v>
      </c>
      <c r="L27" s="36"/>
      <c r="M27" s="106">
        <v>162.5</v>
      </c>
      <c r="N27" s="35" t="s">
        <v>2155</v>
      </c>
      <c r="O27" s="88" t="s">
        <v>1664</v>
      </c>
    </row>
    <row r="28" spans="1:15" ht="12.75">
      <c r="A28" s="29">
        <v>2</v>
      </c>
      <c r="B28" s="469">
        <v>21</v>
      </c>
      <c r="C28" s="18" t="s">
        <v>4144</v>
      </c>
      <c r="D28" s="93" t="s">
        <v>1445</v>
      </c>
      <c r="E28" s="18" t="s">
        <v>1655</v>
      </c>
      <c r="F28" s="18" t="str">
        <f>"1,0328"</f>
        <v>1,0328</v>
      </c>
      <c r="G28" s="18" t="s">
        <v>14</v>
      </c>
      <c r="H28" s="18" t="s">
        <v>1642</v>
      </c>
      <c r="I28" s="140" t="s">
        <v>447</v>
      </c>
      <c r="J28" s="140" t="s">
        <v>551</v>
      </c>
      <c r="K28" s="140" t="s">
        <v>136</v>
      </c>
      <c r="L28" s="39"/>
      <c r="M28" s="40">
        <v>142.5</v>
      </c>
      <c r="N28" s="38" t="str">
        <f>"147,1740"</f>
        <v>147,1740</v>
      </c>
      <c r="O28" s="18" t="s">
        <v>1664</v>
      </c>
    </row>
    <row r="29" spans="1:15" ht="12.75">
      <c r="A29" s="29">
        <v>3</v>
      </c>
      <c r="B29" s="469"/>
      <c r="C29" s="18" t="s">
        <v>4145</v>
      </c>
      <c r="D29" s="93" t="s">
        <v>1084</v>
      </c>
      <c r="E29" s="18" t="s">
        <v>1766</v>
      </c>
      <c r="F29" s="18" t="str">
        <f>"1,0638"</f>
        <v>1,0638</v>
      </c>
      <c r="G29" s="18" t="s">
        <v>31</v>
      </c>
      <c r="H29" s="92" t="s">
        <v>1642</v>
      </c>
      <c r="I29" s="47" t="s">
        <v>480</v>
      </c>
      <c r="J29" s="146" t="s">
        <v>480</v>
      </c>
      <c r="K29" s="47" t="s">
        <v>132</v>
      </c>
      <c r="L29" s="102"/>
      <c r="M29" s="40">
        <v>140</v>
      </c>
      <c r="N29" s="38" t="s">
        <v>2175</v>
      </c>
      <c r="O29" s="18" t="s">
        <v>1817</v>
      </c>
    </row>
    <row r="30" spans="1:15" ht="12.75">
      <c r="A30" s="29">
        <v>4</v>
      </c>
      <c r="B30" s="469">
        <v>7</v>
      </c>
      <c r="C30" s="18" t="s">
        <v>4146</v>
      </c>
      <c r="D30" s="93" t="s">
        <v>950</v>
      </c>
      <c r="E30" s="18" t="s">
        <v>1764</v>
      </c>
      <c r="F30" s="18" t="str">
        <f>"1,0753"</f>
        <v>1,0753</v>
      </c>
      <c r="G30" s="18" t="s">
        <v>2104</v>
      </c>
      <c r="H30" s="18" t="s">
        <v>337</v>
      </c>
      <c r="I30" s="47" t="s">
        <v>88</v>
      </c>
      <c r="J30" s="140" t="s">
        <v>88</v>
      </c>
      <c r="K30" s="47" t="s">
        <v>136</v>
      </c>
      <c r="L30" s="39"/>
      <c r="M30" s="40">
        <v>120</v>
      </c>
      <c r="N30" s="38" t="str">
        <f>"129,0360"</f>
        <v>129,0360</v>
      </c>
      <c r="O30" s="18" t="s">
        <v>1815</v>
      </c>
    </row>
    <row r="31" spans="1:15" ht="12.75">
      <c r="A31" s="29">
        <v>5</v>
      </c>
      <c r="B31" s="469">
        <v>6</v>
      </c>
      <c r="C31" s="18" t="s">
        <v>4147</v>
      </c>
      <c r="D31" s="93" t="s">
        <v>1447</v>
      </c>
      <c r="E31" s="18" t="s">
        <v>1767</v>
      </c>
      <c r="F31" s="18" t="str">
        <f>"1,0420"</f>
        <v>1,0420</v>
      </c>
      <c r="G31" s="18" t="s">
        <v>130</v>
      </c>
      <c r="H31" s="18" t="s">
        <v>1642</v>
      </c>
      <c r="I31" s="140" t="s">
        <v>544</v>
      </c>
      <c r="J31" s="47" t="s">
        <v>139</v>
      </c>
      <c r="K31" s="47" t="s">
        <v>139</v>
      </c>
      <c r="L31" s="39"/>
      <c r="M31" s="52">
        <v>112.5</v>
      </c>
      <c r="N31" s="38" t="s">
        <v>2152</v>
      </c>
      <c r="O31" s="18" t="s">
        <v>1702</v>
      </c>
    </row>
    <row r="32" spans="1:15" ht="12.75">
      <c r="A32" s="29">
        <v>6</v>
      </c>
      <c r="B32" s="469"/>
      <c r="C32" s="18" t="s">
        <v>4148</v>
      </c>
      <c r="D32" s="93" t="s">
        <v>1446</v>
      </c>
      <c r="E32" s="18" t="s">
        <v>1765</v>
      </c>
      <c r="F32" s="18" t="str">
        <f>"1,0576"</f>
        <v>1,0576</v>
      </c>
      <c r="G32" s="18" t="s">
        <v>31</v>
      </c>
      <c r="H32" s="18" t="s">
        <v>1642</v>
      </c>
      <c r="I32" s="47" t="s">
        <v>33</v>
      </c>
      <c r="J32" s="140" t="s">
        <v>33</v>
      </c>
      <c r="K32" s="140" t="s">
        <v>303</v>
      </c>
      <c r="L32" s="39"/>
      <c r="M32" s="40">
        <v>100</v>
      </c>
      <c r="N32" s="38" t="str">
        <f>"105,7600"</f>
        <v>105,7600</v>
      </c>
      <c r="O32" s="18" t="s">
        <v>1816</v>
      </c>
    </row>
    <row r="33" spans="1:15" ht="12.75">
      <c r="A33" s="29">
        <v>1</v>
      </c>
      <c r="B33" s="469">
        <v>30</v>
      </c>
      <c r="C33" s="19" t="s">
        <v>4132</v>
      </c>
      <c r="D33" s="95" t="s">
        <v>1449</v>
      </c>
      <c r="E33" s="19" t="s">
        <v>1768</v>
      </c>
      <c r="F33" s="19" t="str">
        <f>"1,0385"</f>
        <v>1,0385</v>
      </c>
      <c r="G33" s="19" t="s">
        <v>14</v>
      </c>
      <c r="H33" s="19" t="s">
        <v>1642</v>
      </c>
      <c r="I33" s="139" t="s">
        <v>77</v>
      </c>
      <c r="J33" s="48" t="s">
        <v>555</v>
      </c>
      <c r="K33" s="48" t="s">
        <v>555</v>
      </c>
      <c r="L33" s="42"/>
      <c r="M33" s="51">
        <v>162.5</v>
      </c>
      <c r="N33" s="41" t="s">
        <v>2265</v>
      </c>
      <c r="O33" s="19" t="s">
        <v>1664</v>
      </c>
    </row>
    <row r="34" ht="12.75">
      <c r="B34" s="470"/>
    </row>
    <row r="35" spans="2:14" ht="15.75">
      <c r="B35" s="469"/>
      <c r="C35" s="541" t="s">
        <v>42</v>
      </c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1"/>
    </row>
    <row r="36" spans="1:15" ht="12.75">
      <c r="A36" s="29">
        <v>1</v>
      </c>
      <c r="B36" s="469">
        <v>12</v>
      </c>
      <c r="C36" s="17" t="s">
        <v>4149</v>
      </c>
      <c r="D36" s="17" t="s">
        <v>1450</v>
      </c>
      <c r="E36" s="17" t="s">
        <v>1769</v>
      </c>
      <c r="F36" s="17" t="str">
        <f>"0,9769"</f>
        <v>0,9769</v>
      </c>
      <c r="G36" s="17" t="s">
        <v>130</v>
      </c>
      <c r="H36" s="17" t="s">
        <v>1642</v>
      </c>
      <c r="I36" s="138" t="s">
        <v>100</v>
      </c>
      <c r="J36" s="138" t="s">
        <v>551</v>
      </c>
      <c r="K36" s="46" t="s">
        <v>480</v>
      </c>
      <c r="L36" s="36"/>
      <c r="M36" s="44">
        <v>135</v>
      </c>
      <c r="N36" s="35" t="str">
        <f>"131,8815"</f>
        <v>131,8815</v>
      </c>
      <c r="O36" s="17" t="s">
        <v>1818</v>
      </c>
    </row>
    <row r="37" spans="1:15" ht="12.75">
      <c r="A37" s="29">
        <v>2</v>
      </c>
      <c r="B37" s="469">
        <v>9</v>
      </c>
      <c r="C37" s="18" t="s">
        <v>4150</v>
      </c>
      <c r="D37" s="18" t="s">
        <v>1451</v>
      </c>
      <c r="E37" s="18" t="s">
        <v>1770</v>
      </c>
      <c r="F37" s="18" t="str">
        <f>"0,9613"</f>
        <v>0,9613</v>
      </c>
      <c r="G37" s="18" t="s">
        <v>125</v>
      </c>
      <c r="H37" s="18" t="s">
        <v>1642</v>
      </c>
      <c r="I37" s="140" t="s">
        <v>447</v>
      </c>
      <c r="J37" s="47" t="s">
        <v>551</v>
      </c>
      <c r="K37" s="47" t="s">
        <v>480</v>
      </c>
      <c r="L37" s="39"/>
      <c r="M37" s="40">
        <v>125</v>
      </c>
      <c r="N37" s="38" t="str">
        <f>"120,1625"</f>
        <v>120,1625</v>
      </c>
      <c r="O37" s="18" t="s">
        <v>1819</v>
      </c>
    </row>
    <row r="38" spans="1:15" ht="12.75">
      <c r="A38" s="29">
        <v>1</v>
      </c>
      <c r="B38" s="469">
        <v>12</v>
      </c>
      <c r="C38" s="19" t="s">
        <v>4151</v>
      </c>
      <c r="D38" s="19" t="s">
        <v>1452</v>
      </c>
      <c r="E38" s="19" t="s">
        <v>1771</v>
      </c>
      <c r="F38" s="19" t="str">
        <f>"0,9742"</f>
        <v>0,9742</v>
      </c>
      <c r="G38" s="19" t="s">
        <v>2104</v>
      </c>
      <c r="H38" s="19" t="s">
        <v>1642</v>
      </c>
      <c r="I38" s="139" t="s">
        <v>89</v>
      </c>
      <c r="J38" s="139" t="s">
        <v>480</v>
      </c>
      <c r="K38" s="48" t="s">
        <v>811</v>
      </c>
      <c r="L38" s="42"/>
      <c r="M38" s="43">
        <v>140</v>
      </c>
      <c r="N38" s="41" t="str">
        <f>"136,3880"</f>
        <v>136,3880</v>
      </c>
      <c r="O38" s="19" t="s">
        <v>1670</v>
      </c>
    </row>
    <row r="39" ht="12.75">
      <c r="B39" s="470"/>
    </row>
    <row r="40" spans="2:14" ht="15.75">
      <c r="B40" s="469"/>
      <c r="C40" s="541" t="s">
        <v>116</v>
      </c>
      <c r="D40" s="541"/>
      <c r="E40" s="541"/>
      <c r="F40" s="541"/>
      <c r="G40" s="541"/>
      <c r="H40" s="541"/>
      <c r="I40" s="541"/>
      <c r="J40" s="541"/>
      <c r="K40" s="541"/>
      <c r="L40" s="541"/>
      <c r="M40" s="541"/>
      <c r="N40" s="541"/>
    </row>
    <row r="41" spans="1:15" ht="12.75">
      <c r="A41" s="29">
        <v>1</v>
      </c>
      <c r="B41" s="469">
        <v>12</v>
      </c>
      <c r="C41" s="17" t="s">
        <v>4152</v>
      </c>
      <c r="D41" s="17" t="s">
        <v>1453</v>
      </c>
      <c r="E41" s="17" t="s">
        <v>1772</v>
      </c>
      <c r="F41" s="17" t="str">
        <f>"0,9235"</f>
        <v>0,9235</v>
      </c>
      <c r="G41" s="17" t="s">
        <v>130</v>
      </c>
      <c r="H41" s="17" t="s">
        <v>1642</v>
      </c>
      <c r="I41" s="138" t="s">
        <v>447</v>
      </c>
      <c r="J41" s="138" t="s">
        <v>101</v>
      </c>
      <c r="K41" s="46" t="s">
        <v>598</v>
      </c>
      <c r="L41" s="36"/>
      <c r="M41" s="44">
        <v>132.5</v>
      </c>
      <c r="N41" s="35" t="str">
        <f>"122,3638"</f>
        <v>122,3638</v>
      </c>
      <c r="O41" s="17" t="s">
        <v>1820</v>
      </c>
    </row>
    <row r="42" spans="1:15" ht="12.75">
      <c r="A42" s="29">
        <v>2</v>
      </c>
      <c r="B42" s="469">
        <v>9</v>
      </c>
      <c r="C42" s="19" t="s">
        <v>4153</v>
      </c>
      <c r="D42" s="19" t="s">
        <v>1454</v>
      </c>
      <c r="E42" s="19" t="s">
        <v>1773</v>
      </c>
      <c r="F42" s="19" t="str">
        <f>"0,9005"</f>
        <v>0,9005</v>
      </c>
      <c r="G42" s="19" t="s">
        <v>483</v>
      </c>
      <c r="H42" s="19" t="s">
        <v>484</v>
      </c>
      <c r="I42" s="139" t="s">
        <v>446</v>
      </c>
      <c r="J42" s="48" t="s">
        <v>447</v>
      </c>
      <c r="K42" s="48" t="s">
        <v>447</v>
      </c>
      <c r="L42" s="42"/>
      <c r="M42" s="43">
        <v>115</v>
      </c>
      <c r="N42" s="41" t="s">
        <v>2153</v>
      </c>
      <c r="O42" s="19" t="s">
        <v>1821</v>
      </c>
    </row>
    <row r="43" ht="12.75">
      <c r="B43" s="470"/>
    </row>
    <row r="44" spans="2:14" ht="15.75">
      <c r="B44" s="469"/>
      <c r="C44" s="541" t="s">
        <v>499</v>
      </c>
      <c r="D44" s="541"/>
      <c r="E44" s="541"/>
      <c r="F44" s="541"/>
      <c r="G44" s="541"/>
      <c r="H44" s="541"/>
      <c r="I44" s="541"/>
      <c r="J44" s="541"/>
      <c r="K44" s="541"/>
      <c r="L44" s="541"/>
      <c r="M44" s="541"/>
      <c r="N44" s="541"/>
    </row>
    <row r="45" spans="1:15" ht="12.75">
      <c r="A45" s="29">
        <v>1</v>
      </c>
      <c r="B45" s="469">
        <v>12</v>
      </c>
      <c r="C45" s="20" t="s">
        <v>4154</v>
      </c>
      <c r="D45" s="20" t="s">
        <v>1302</v>
      </c>
      <c r="E45" s="20" t="s">
        <v>1631</v>
      </c>
      <c r="F45" s="20" t="str">
        <f>"0,8050"</f>
        <v>0,8050</v>
      </c>
      <c r="G45" s="20" t="s">
        <v>130</v>
      </c>
      <c r="H45" s="20" t="s">
        <v>1806</v>
      </c>
      <c r="I45" s="134" t="s">
        <v>132</v>
      </c>
      <c r="J45" s="45" t="s">
        <v>76</v>
      </c>
      <c r="K45" s="45" t="s">
        <v>76</v>
      </c>
      <c r="L45" s="31"/>
      <c r="M45" s="34">
        <v>150</v>
      </c>
      <c r="N45" s="33" t="str">
        <f>"120,7500"</f>
        <v>120,7500</v>
      </c>
      <c r="O45" s="20" t="s">
        <v>51</v>
      </c>
    </row>
    <row r="46" ht="12.75">
      <c r="B46" s="470"/>
    </row>
    <row r="47" spans="2:14" ht="15.75">
      <c r="B47" s="469"/>
      <c r="C47" s="541" t="s">
        <v>66</v>
      </c>
      <c r="D47" s="541"/>
      <c r="E47" s="541"/>
      <c r="F47" s="541"/>
      <c r="G47" s="541"/>
      <c r="H47" s="541"/>
      <c r="I47" s="541"/>
      <c r="J47" s="541"/>
      <c r="K47" s="541"/>
      <c r="L47" s="541"/>
      <c r="M47" s="541"/>
      <c r="N47" s="541"/>
    </row>
    <row r="48" spans="1:15" ht="12.75">
      <c r="A48" s="29">
        <v>1</v>
      </c>
      <c r="B48" s="469"/>
      <c r="C48" s="20" t="s">
        <v>4155</v>
      </c>
      <c r="D48" s="20" t="s">
        <v>507</v>
      </c>
      <c r="E48" s="20" t="s">
        <v>1774</v>
      </c>
      <c r="F48" s="20" t="str">
        <f>"1,0484"</f>
        <v>1,0484</v>
      </c>
      <c r="G48" s="20" t="s">
        <v>31</v>
      </c>
      <c r="H48" s="20" t="s">
        <v>509</v>
      </c>
      <c r="I48" s="134" t="s">
        <v>25</v>
      </c>
      <c r="J48" s="45" t="s">
        <v>139</v>
      </c>
      <c r="K48" s="134" t="s">
        <v>101</v>
      </c>
      <c r="L48" s="31"/>
      <c r="M48" s="34">
        <v>132.5</v>
      </c>
      <c r="N48" s="33" t="str">
        <f>"138,9130"</f>
        <v>138,9130</v>
      </c>
      <c r="O48" s="20" t="s">
        <v>1822</v>
      </c>
    </row>
    <row r="49" ht="12.75">
      <c r="B49" s="470"/>
    </row>
    <row r="50" spans="2:14" ht="15.75">
      <c r="B50" s="469"/>
      <c r="C50" s="541" t="s">
        <v>10</v>
      </c>
      <c r="D50" s="541"/>
      <c r="E50" s="541"/>
      <c r="F50" s="541"/>
      <c r="G50" s="541"/>
      <c r="H50" s="541"/>
      <c r="I50" s="541"/>
      <c r="J50" s="541"/>
      <c r="K50" s="541"/>
      <c r="L50" s="541"/>
      <c r="M50" s="541"/>
      <c r="N50" s="541"/>
    </row>
    <row r="51" spans="1:15" ht="12.75">
      <c r="A51" s="29">
        <v>1</v>
      </c>
      <c r="B51" s="469">
        <v>12</v>
      </c>
      <c r="C51" s="20" t="s">
        <v>4156</v>
      </c>
      <c r="D51" s="20" t="s">
        <v>1455</v>
      </c>
      <c r="E51" s="20" t="s">
        <v>1775</v>
      </c>
      <c r="F51" s="20" t="str">
        <f>"0,9677"</f>
        <v>0,9677</v>
      </c>
      <c r="G51" s="20" t="s">
        <v>130</v>
      </c>
      <c r="H51" s="20" t="s">
        <v>1642</v>
      </c>
      <c r="I51" s="134" t="s">
        <v>303</v>
      </c>
      <c r="J51" s="134" t="s">
        <v>25</v>
      </c>
      <c r="K51" s="134" t="s">
        <v>139</v>
      </c>
      <c r="L51" s="31"/>
      <c r="M51" s="34">
        <v>122.5</v>
      </c>
      <c r="N51" s="33" t="str">
        <f>"118,5433"</f>
        <v>118,5433</v>
      </c>
      <c r="O51" s="20" t="s">
        <v>1823</v>
      </c>
    </row>
    <row r="52" ht="12.75">
      <c r="B52" s="470"/>
    </row>
    <row r="53" spans="2:14" ht="15.75">
      <c r="B53" s="469"/>
      <c r="C53" s="541" t="s">
        <v>80</v>
      </c>
      <c r="D53" s="541"/>
      <c r="E53" s="541"/>
      <c r="F53" s="541"/>
      <c r="G53" s="541"/>
      <c r="H53" s="541"/>
      <c r="I53" s="541"/>
      <c r="J53" s="541"/>
      <c r="K53" s="541"/>
      <c r="L53" s="541"/>
      <c r="M53" s="541"/>
      <c r="N53" s="541"/>
    </row>
    <row r="54" spans="2:15" ht="12.75">
      <c r="B54" s="469"/>
      <c r="C54" s="17" t="s">
        <v>1456</v>
      </c>
      <c r="D54" s="17" t="s">
        <v>1457</v>
      </c>
      <c r="E54" s="17" t="s">
        <v>1649</v>
      </c>
      <c r="F54" s="17" t="str">
        <f>"0,8594"</f>
        <v>0,8594</v>
      </c>
      <c r="G54" s="17" t="s">
        <v>130</v>
      </c>
      <c r="H54" s="17" t="s">
        <v>1642</v>
      </c>
      <c r="I54" s="46" t="s">
        <v>183</v>
      </c>
      <c r="J54" s="107" t="s">
        <v>183</v>
      </c>
      <c r="K54" s="46" t="s">
        <v>183</v>
      </c>
      <c r="L54" s="101"/>
      <c r="M54" s="37">
        <v>0</v>
      </c>
      <c r="N54" s="35" t="s">
        <v>1639</v>
      </c>
      <c r="O54" s="17" t="s">
        <v>1702</v>
      </c>
    </row>
    <row r="55" spans="2:15" ht="12.75">
      <c r="B55" s="469"/>
      <c r="C55" s="19" t="s">
        <v>1456</v>
      </c>
      <c r="D55" s="19" t="s">
        <v>1458</v>
      </c>
      <c r="E55" s="19" t="s">
        <v>1649</v>
      </c>
      <c r="F55" s="19" t="str">
        <f>"0,8594"</f>
        <v>0,8594</v>
      </c>
      <c r="G55" s="19" t="s">
        <v>130</v>
      </c>
      <c r="H55" s="19" t="s">
        <v>1642</v>
      </c>
      <c r="I55" s="48" t="s">
        <v>183</v>
      </c>
      <c r="J55" s="108" t="s">
        <v>183</v>
      </c>
      <c r="K55" s="48" t="s">
        <v>183</v>
      </c>
      <c r="L55" s="109"/>
      <c r="M55" s="51">
        <v>0</v>
      </c>
      <c r="N55" s="41" t="s">
        <v>1639</v>
      </c>
      <c r="O55" s="19" t="s">
        <v>1702</v>
      </c>
    </row>
    <row r="56" ht="12.75">
      <c r="B56" s="470"/>
    </row>
    <row r="57" spans="2:14" ht="15.75">
      <c r="B57" s="469"/>
      <c r="C57" s="541" t="s">
        <v>18</v>
      </c>
      <c r="D57" s="541"/>
      <c r="E57" s="541"/>
      <c r="F57" s="541"/>
      <c r="G57" s="541"/>
      <c r="H57" s="541"/>
      <c r="I57" s="541"/>
      <c r="J57" s="541"/>
      <c r="K57" s="541"/>
      <c r="L57" s="541"/>
      <c r="M57" s="541"/>
      <c r="N57" s="541"/>
    </row>
    <row r="58" spans="1:15" ht="12.75">
      <c r="A58" s="29">
        <v>1</v>
      </c>
      <c r="B58" s="469"/>
      <c r="C58" s="17" t="s">
        <v>4157</v>
      </c>
      <c r="D58" s="17" t="s">
        <v>1305</v>
      </c>
      <c r="E58" s="17" t="s">
        <v>1632</v>
      </c>
      <c r="F58" s="17" t="str">
        <f>"0,7852"</f>
        <v>0,7852</v>
      </c>
      <c r="G58" s="17" t="s">
        <v>31</v>
      </c>
      <c r="H58" s="17" t="s">
        <v>1642</v>
      </c>
      <c r="I58" s="138" t="s">
        <v>121</v>
      </c>
      <c r="J58" s="46" t="s">
        <v>237</v>
      </c>
      <c r="K58" s="46" t="s">
        <v>237</v>
      </c>
      <c r="L58" s="36"/>
      <c r="M58" s="44">
        <v>205</v>
      </c>
      <c r="N58" s="35" t="str">
        <f>"160,9660"</f>
        <v>160,9660</v>
      </c>
      <c r="O58" s="17" t="s">
        <v>1644</v>
      </c>
    </row>
    <row r="59" spans="1:15" ht="12.75">
      <c r="A59" s="29">
        <v>2</v>
      </c>
      <c r="B59" s="469">
        <v>21</v>
      </c>
      <c r="C59" s="18" t="s">
        <v>4158</v>
      </c>
      <c r="D59" s="18" t="s">
        <v>1459</v>
      </c>
      <c r="E59" s="18" t="s">
        <v>1650</v>
      </c>
      <c r="F59" s="18" t="str">
        <f>"0,7719"</f>
        <v>0,7719</v>
      </c>
      <c r="G59" s="18" t="s">
        <v>54</v>
      </c>
      <c r="H59" s="18" t="s">
        <v>1460</v>
      </c>
      <c r="I59" s="47" t="s">
        <v>120</v>
      </c>
      <c r="J59" s="140" t="s">
        <v>120</v>
      </c>
      <c r="K59" s="140" t="s">
        <v>190</v>
      </c>
      <c r="L59" s="39"/>
      <c r="M59" s="40">
        <v>200</v>
      </c>
      <c r="N59" s="38" t="str">
        <f>"154,3800"</f>
        <v>154,3800</v>
      </c>
      <c r="O59" s="18" t="s">
        <v>51</v>
      </c>
    </row>
    <row r="60" spans="1:15" ht="12.75">
      <c r="A60" s="29">
        <v>3</v>
      </c>
      <c r="B60" s="469"/>
      <c r="C60" s="18" t="s">
        <v>4159</v>
      </c>
      <c r="D60" s="18" t="s">
        <v>1461</v>
      </c>
      <c r="E60" s="18" t="s">
        <v>1776</v>
      </c>
      <c r="F60" s="18" t="str">
        <f>"0,7794"</f>
        <v>0,7794</v>
      </c>
      <c r="G60" s="18" t="s">
        <v>31</v>
      </c>
      <c r="H60" s="92" t="s">
        <v>1642</v>
      </c>
      <c r="I60" s="140" t="s">
        <v>127</v>
      </c>
      <c r="J60" s="146" t="s">
        <v>120</v>
      </c>
      <c r="K60" s="47" t="s">
        <v>202</v>
      </c>
      <c r="L60" s="102"/>
      <c r="M60" s="40">
        <v>195</v>
      </c>
      <c r="N60" s="38" t="str">
        <f>"151,9830"</f>
        <v>151,9830</v>
      </c>
      <c r="O60" s="18" t="s">
        <v>51</v>
      </c>
    </row>
    <row r="61" spans="1:15" ht="12.75">
      <c r="A61" s="29">
        <v>4</v>
      </c>
      <c r="B61" s="469">
        <v>7</v>
      </c>
      <c r="C61" s="18" t="s">
        <v>4160</v>
      </c>
      <c r="D61" s="18" t="s">
        <v>529</v>
      </c>
      <c r="E61" s="18" t="s">
        <v>1712</v>
      </c>
      <c r="F61" s="18" t="str">
        <f>"0,7901"</f>
        <v>0,7901</v>
      </c>
      <c r="G61" s="18" t="s">
        <v>130</v>
      </c>
      <c r="H61" s="92" t="s">
        <v>1642</v>
      </c>
      <c r="I61" s="140" t="s">
        <v>183</v>
      </c>
      <c r="J61" s="146" t="s">
        <v>153</v>
      </c>
      <c r="K61" s="47" t="s">
        <v>126</v>
      </c>
      <c r="L61" s="102"/>
      <c r="M61" s="40">
        <v>170</v>
      </c>
      <c r="N61" s="38" t="str">
        <f>"134,3170"</f>
        <v>134,3170</v>
      </c>
      <c r="O61" s="18" t="s">
        <v>1702</v>
      </c>
    </row>
    <row r="62" spans="1:15" ht="12.75">
      <c r="A62" s="29">
        <v>5</v>
      </c>
      <c r="B62" s="469">
        <v>6</v>
      </c>
      <c r="C62" s="18" t="s">
        <v>4161</v>
      </c>
      <c r="D62" s="18" t="s">
        <v>1463</v>
      </c>
      <c r="E62" s="18" t="s">
        <v>1777</v>
      </c>
      <c r="F62" s="18" t="str">
        <f>"0,7766"</f>
        <v>0,7766</v>
      </c>
      <c r="G62" s="18" t="s">
        <v>125</v>
      </c>
      <c r="H62" s="18" t="s">
        <v>308</v>
      </c>
      <c r="I62" s="140" t="s">
        <v>153</v>
      </c>
      <c r="J62" s="47" t="s">
        <v>175</v>
      </c>
      <c r="K62" s="47" t="s">
        <v>120</v>
      </c>
      <c r="L62" s="39"/>
      <c r="M62" s="40">
        <v>170</v>
      </c>
      <c r="N62" s="38" t="s">
        <v>2148</v>
      </c>
      <c r="O62" s="18" t="s">
        <v>1825</v>
      </c>
    </row>
    <row r="63" spans="1:15" ht="12" customHeight="1">
      <c r="A63" s="29">
        <v>6</v>
      </c>
      <c r="B63" s="469">
        <v>5</v>
      </c>
      <c r="C63" s="18" t="s">
        <v>4162</v>
      </c>
      <c r="D63" s="18" t="s">
        <v>1445</v>
      </c>
      <c r="E63" s="18" t="s">
        <v>1650</v>
      </c>
      <c r="F63" s="18" t="str">
        <f>"0,7719"</f>
        <v>0,7719</v>
      </c>
      <c r="G63" s="18" t="s">
        <v>161</v>
      </c>
      <c r="H63" s="18" t="s">
        <v>677</v>
      </c>
      <c r="I63" s="140" t="s">
        <v>297</v>
      </c>
      <c r="J63" s="140" t="s">
        <v>77</v>
      </c>
      <c r="K63" s="140" t="s">
        <v>153</v>
      </c>
      <c r="L63" s="39"/>
      <c r="M63" s="40">
        <v>170</v>
      </c>
      <c r="N63" s="38" t="str">
        <f>"131,2230"</f>
        <v>131,2230</v>
      </c>
      <c r="O63" s="18" t="s">
        <v>1824</v>
      </c>
    </row>
    <row r="64" spans="2:15" ht="12" customHeight="1">
      <c r="B64" s="469"/>
      <c r="C64" s="18" t="s">
        <v>3175</v>
      </c>
      <c r="D64" s="18" t="s">
        <v>3176</v>
      </c>
      <c r="E64" s="18" t="s">
        <v>3177</v>
      </c>
      <c r="F64" s="18" t="s">
        <v>3178</v>
      </c>
      <c r="G64" s="18" t="s">
        <v>2115</v>
      </c>
      <c r="H64" s="18" t="s">
        <v>1642</v>
      </c>
      <c r="I64" s="48" t="s">
        <v>126</v>
      </c>
      <c r="J64" s="108" t="s">
        <v>126</v>
      </c>
      <c r="K64" s="48" t="s">
        <v>127</v>
      </c>
      <c r="L64" s="39"/>
      <c r="M64" s="250">
        <v>0</v>
      </c>
      <c r="N64" s="38" t="s">
        <v>1639</v>
      </c>
      <c r="O64" s="18" t="s">
        <v>51</v>
      </c>
    </row>
    <row r="65" spans="1:15" ht="12.75">
      <c r="A65" s="29">
        <v>1</v>
      </c>
      <c r="B65" s="469"/>
      <c r="C65" s="19" t="s">
        <v>4163</v>
      </c>
      <c r="D65" s="19" t="s">
        <v>533</v>
      </c>
      <c r="E65" s="19" t="s">
        <v>1778</v>
      </c>
      <c r="F65" s="19" t="str">
        <f>"0,7756"</f>
        <v>0,7756</v>
      </c>
      <c r="G65" s="19" t="s">
        <v>31</v>
      </c>
      <c r="H65" s="19" t="s">
        <v>1642</v>
      </c>
      <c r="I65" s="139" t="s">
        <v>131</v>
      </c>
      <c r="J65" s="139" t="s">
        <v>63</v>
      </c>
      <c r="K65" s="48" t="s">
        <v>183</v>
      </c>
      <c r="L65" s="42"/>
      <c r="M65" s="43">
        <v>155</v>
      </c>
      <c r="N65" s="41" t="str">
        <f>"176,7205"</f>
        <v>176,7205</v>
      </c>
      <c r="O65" s="19" t="s">
        <v>1826</v>
      </c>
    </row>
    <row r="66" ht="12.75">
      <c r="B66" s="470"/>
    </row>
    <row r="67" spans="2:14" ht="15.75">
      <c r="B67" s="469"/>
      <c r="C67" s="541" t="s">
        <v>42</v>
      </c>
      <c r="D67" s="541"/>
      <c r="E67" s="541"/>
      <c r="F67" s="541"/>
      <c r="G67" s="541"/>
      <c r="H67" s="541"/>
      <c r="I67" s="541"/>
      <c r="J67" s="541"/>
      <c r="K67" s="541"/>
      <c r="L67" s="541"/>
      <c r="M67" s="541"/>
      <c r="N67" s="541"/>
    </row>
    <row r="68" spans="1:15" ht="12.75">
      <c r="A68" s="29">
        <v>1</v>
      </c>
      <c r="B68" s="469"/>
      <c r="C68" s="17" t="s">
        <v>4164</v>
      </c>
      <c r="D68" s="17" t="s">
        <v>1465</v>
      </c>
      <c r="E68" s="17" t="s">
        <v>1779</v>
      </c>
      <c r="F68" s="17" t="str">
        <f>"0,7437"</f>
        <v>0,7437</v>
      </c>
      <c r="G68" s="17" t="s">
        <v>31</v>
      </c>
      <c r="H68" s="17" t="s">
        <v>445</v>
      </c>
      <c r="I68" s="138" t="s">
        <v>153</v>
      </c>
      <c r="J68" s="138" t="s">
        <v>350</v>
      </c>
      <c r="K68" s="46" t="s">
        <v>108</v>
      </c>
      <c r="L68" s="36"/>
      <c r="M68" s="44">
        <v>182.5</v>
      </c>
      <c r="N68" s="35" t="str">
        <f>"135,7253"</f>
        <v>135,7253</v>
      </c>
      <c r="O68" s="17" t="s">
        <v>1466</v>
      </c>
    </row>
    <row r="69" spans="1:15" ht="12.75">
      <c r="A69" s="29">
        <v>2</v>
      </c>
      <c r="B69" s="469">
        <v>9</v>
      </c>
      <c r="C69" s="18" t="s">
        <v>4165</v>
      </c>
      <c r="D69" s="18" t="s">
        <v>536</v>
      </c>
      <c r="E69" s="18" t="s">
        <v>1780</v>
      </c>
      <c r="F69" s="18" t="str">
        <f>"0,7264"</f>
        <v>0,7264</v>
      </c>
      <c r="G69" s="18" t="s">
        <v>130</v>
      </c>
      <c r="H69" s="18" t="s">
        <v>1642</v>
      </c>
      <c r="I69" s="140" t="s">
        <v>447</v>
      </c>
      <c r="J69" s="140" t="s">
        <v>89</v>
      </c>
      <c r="K69" s="47" t="s">
        <v>551</v>
      </c>
      <c r="L69" s="39"/>
      <c r="M69" s="40">
        <v>130</v>
      </c>
      <c r="N69" s="38" t="str">
        <f>"94,4320"</f>
        <v>94,4320</v>
      </c>
      <c r="O69" s="18" t="s">
        <v>1827</v>
      </c>
    </row>
    <row r="70" spans="1:15" ht="12.75">
      <c r="A70" s="29">
        <v>1</v>
      </c>
      <c r="B70" s="469"/>
      <c r="C70" s="18" t="s">
        <v>3858</v>
      </c>
      <c r="D70" s="18" t="s">
        <v>1468</v>
      </c>
      <c r="E70" s="18" t="s">
        <v>1749</v>
      </c>
      <c r="F70" s="18" t="str">
        <f>"0,7221"</f>
        <v>0,7221</v>
      </c>
      <c r="G70" s="18" t="s">
        <v>31</v>
      </c>
      <c r="H70" s="18" t="s">
        <v>1807</v>
      </c>
      <c r="I70" s="140" t="s">
        <v>191</v>
      </c>
      <c r="J70" s="140" t="s">
        <v>192</v>
      </c>
      <c r="K70" s="140" t="s">
        <v>252</v>
      </c>
      <c r="L70" s="39"/>
      <c r="M70" s="40">
        <v>217.5</v>
      </c>
      <c r="N70" s="38" t="str">
        <f>"157,0568"</f>
        <v>157,0568</v>
      </c>
      <c r="O70" s="18" t="s">
        <v>1828</v>
      </c>
    </row>
    <row r="71" spans="1:15" ht="12.75">
      <c r="A71" s="29">
        <v>1</v>
      </c>
      <c r="B71" s="469"/>
      <c r="C71" s="18" t="s">
        <v>4166</v>
      </c>
      <c r="D71" s="18" t="s">
        <v>1469</v>
      </c>
      <c r="E71" s="18" t="s">
        <v>1781</v>
      </c>
      <c r="F71" s="18" t="str">
        <f>"0,7360"</f>
        <v>0,7360</v>
      </c>
      <c r="G71" s="18" t="s">
        <v>31</v>
      </c>
      <c r="H71" s="18" t="s">
        <v>1642</v>
      </c>
      <c r="I71" s="140" t="s">
        <v>191</v>
      </c>
      <c r="J71" s="140" t="s">
        <v>237</v>
      </c>
      <c r="K71" s="140" t="s">
        <v>830</v>
      </c>
      <c r="L71" s="140" t="s">
        <v>883</v>
      </c>
      <c r="M71" s="40">
        <v>237.5</v>
      </c>
      <c r="N71" s="38" t="str">
        <f>"174,8000"</f>
        <v>174,8000</v>
      </c>
      <c r="O71" s="18" t="s">
        <v>51</v>
      </c>
    </row>
    <row r="72" spans="1:15" ht="12.75">
      <c r="A72" s="29">
        <v>2</v>
      </c>
      <c r="B72" s="469"/>
      <c r="C72" s="18" t="s">
        <v>4167</v>
      </c>
      <c r="D72" s="18" t="s">
        <v>1470</v>
      </c>
      <c r="E72" s="18" t="s">
        <v>1654</v>
      </c>
      <c r="F72" s="18" t="str">
        <f>"0,7235"</f>
        <v>0,7235</v>
      </c>
      <c r="G72" s="18" t="s">
        <v>31</v>
      </c>
      <c r="H72" s="18" t="s">
        <v>1642</v>
      </c>
      <c r="I72" s="140" t="s">
        <v>120</v>
      </c>
      <c r="J72" s="140" t="s">
        <v>202</v>
      </c>
      <c r="K72" s="140" t="s">
        <v>192</v>
      </c>
      <c r="L72" s="39"/>
      <c r="M72" s="40">
        <v>215</v>
      </c>
      <c r="N72" s="38" t="str">
        <f>"155,5525"</f>
        <v>155,5525</v>
      </c>
      <c r="O72" s="18" t="s">
        <v>1741</v>
      </c>
    </row>
    <row r="73" spans="1:15" ht="12.75">
      <c r="A73" s="29">
        <v>3</v>
      </c>
      <c r="B73" s="469"/>
      <c r="C73" s="18" t="s">
        <v>4168</v>
      </c>
      <c r="D73" s="18" t="s">
        <v>1471</v>
      </c>
      <c r="E73" s="18" t="s">
        <v>1782</v>
      </c>
      <c r="F73" s="18" t="str">
        <f>"0,7152"</f>
        <v>0,7152</v>
      </c>
      <c r="G73" s="18" t="s">
        <v>31</v>
      </c>
      <c r="H73" s="92" t="s">
        <v>1642</v>
      </c>
      <c r="I73" s="140" t="s">
        <v>126</v>
      </c>
      <c r="J73" s="140" t="s">
        <v>350</v>
      </c>
      <c r="K73" s="47" t="s">
        <v>635</v>
      </c>
      <c r="L73" s="102"/>
      <c r="M73" s="40">
        <v>182.5</v>
      </c>
      <c r="N73" s="38" t="str">
        <f>"130,5240"</f>
        <v>130,5240</v>
      </c>
      <c r="O73" s="18" t="s">
        <v>1829</v>
      </c>
    </row>
    <row r="74" spans="1:15" ht="12.75">
      <c r="A74" s="29">
        <v>4</v>
      </c>
      <c r="B74" s="469">
        <v>7</v>
      </c>
      <c r="C74" s="19" t="s">
        <v>4169</v>
      </c>
      <c r="D74" s="19" t="s">
        <v>1473</v>
      </c>
      <c r="E74" s="19" t="s">
        <v>1713</v>
      </c>
      <c r="F74" s="19" t="str">
        <f>"0,7228"</f>
        <v>0,7228</v>
      </c>
      <c r="G74" s="19" t="s">
        <v>125</v>
      </c>
      <c r="H74" s="94" t="s">
        <v>445</v>
      </c>
      <c r="I74" s="139" t="s">
        <v>127</v>
      </c>
      <c r="J74" s="48" t="s">
        <v>175</v>
      </c>
      <c r="K74" s="48" t="s">
        <v>175</v>
      </c>
      <c r="L74" s="109"/>
      <c r="M74" s="43">
        <v>180</v>
      </c>
      <c r="N74" s="41" t="s">
        <v>2174</v>
      </c>
      <c r="O74" s="19" t="s">
        <v>1699</v>
      </c>
    </row>
    <row r="75" ht="12.75">
      <c r="B75" s="470"/>
    </row>
    <row r="76" spans="2:14" ht="15.75">
      <c r="B76" s="469"/>
      <c r="C76" s="541" t="s">
        <v>116</v>
      </c>
      <c r="D76" s="541"/>
      <c r="E76" s="541"/>
      <c r="F76" s="541"/>
      <c r="G76" s="541"/>
      <c r="H76" s="541"/>
      <c r="I76" s="541"/>
      <c r="J76" s="541"/>
      <c r="K76" s="541"/>
      <c r="L76" s="541"/>
      <c r="M76" s="541"/>
      <c r="N76" s="541"/>
    </row>
    <row r="77" spans="1:15" ht="12.75">
      <c r="A77" s="29">
        <v>1</v>
      </c>
      <c r="B77" s="469">
        <v>24</v>
      </c>
      <c r="C77" s="83" t="s">
        <v>4170</v>
      </c>
      <c r="D77" s="83" t="s">
        <v>1475</v>
      </c>
      <c r="E77" s="83" t="s">
        <v>1783</v>
      </c>
      <c r="F77" s="17" t="str">
        <f>"0,7023"</f>
        <v>0,7023</v>
      </c>
      <c r="G77" s="84" t="s">
        <v>54</v>
      </c>
      <c r="H77" s="17" t="s">
        <v>1476</v>
      </c>
      <c r="I77" s="147" t="s">
        <v>120</v>
      </c>
      <c r="J77" s="138" t="s">
        <v>192</v>
      </c>
      <c r="K77" s="147" t="s">
        <v>237</v>
      </c>
      <c r="L77" s="36"/>
      <c r="M77" s="151">
        <v>220</v>
      </c>
      <c r="N77" s="35" t="str">
        <f>"154,5060"</f>
        <v>154,5060</v>
      </c>
      <c r="O77" s="88" t="s">
        <v>1830</v>
      </c>
    </row>
    <row r="78" spans="1:15" ht="12.75">
      <c r="A78" s="29">
        <v>2</v>
      </c>
      <c r="B78" s="469">
        <v>9</v>
      </c>
      <c r="C78" s="92" t="s">
        <v>4171</v>
      </c>
      <c r="D78" s="92" t="s">
        <v>1477</v>
      </c>
      <c r="E78" s="92" t="s">
        <v>1634</v>
      </c>
      <c r="F78" s="18" t="str">
        <f>"0,6785"</f>
        <v>0,6785</v>
      </c>
      <c r="G78" s="79" t="s">
        <v>14</v>
      </c>
      <c r="H78" s="18" t="s">
        <v>1642</v>
      </c>
      <c r="I78" s="240" t="s">
        <v>132</v>
      </c>
      <c r="J78" s="140" t="s">
        <v>76</v>
      </c>
      <c r="K78" s="80" t="s">
        <v>183</v>
      </c>
      <c r="L78" s="39"/>
      <c r="M78" s="150">
        <v>157.5</v>
      </c>
      <c r="N78" s="38" t="str">
        <f>"106,8637"</f>
        <v>106,8637</v>
      </c>
      <c r="O78" s="93" t="s">
        <v>1810</v>
      </c>
    </row>
    <row r="79" spans="1:15" ht="12.75">
      <c r="A79" s="29">
        <v>1</v>
      </c>
      <c r="B79" s="469"/>
      <c r="C79" s="92" t="s">
        <v>4172</v>
      </c>
      <c r="D79" s="92" t="s">
        <v>587</v>
      </c>
      <c r="E79" s="92" t="s">
        <v>1714</v>
      </c>
      <c r="F79" s="18" t="str">
        <f>"0,6759"</f>
        <v>0,6759</v>
      </c>
      <c r="G79" s="79" t="s">
        <v>31</v>
      </c>
      <c r="H79" s="18" t="s">
        <v>589</v>
      </c>
      <c r="I79" s="240" t="s">
        <v>238</v>
      </c>
      <c r="J79" s="140" t="s">
        <v>319</v>
      </c>
      <c r="K79" s="240" t="s">
        <v>341</v>
      </c>
      <c r="L79" s="39"/>
      <c r="M79" s="150">
        <v>270</v>
      </c>
      <c r="N79" s="38" t="str">
        <f>"182,4930"</f>
        <v>182,4930</v>
      </c>
      <c r="O79" s="93" t="s">
        <v>51</v>
      </c>
    </row>
    <row r="80" spans="1:15" ht="12.75">
      <c r="A80" s="29">
        <v>2</v>
      </c>
      <c r="B80" s="469"/>
      <c r="C80" s="92" t="s">
        <v>4173</v>
      </c>
      <c r="D80" s="92" t="s">
        <v>1479</v>
      </c>
      <c r="E80" s="92" t="s">
        <v>1784</v>
      </c>
      <c r="F80" s="18" t="str">
        <f>"0,6800"</f>
        <v>0,6800</v>
      </c>
      <c r="G80" s="79" t="s">
        <v>31</v>
      </c>
      <c r="H80" s="18" t="s">
        <v>1642</v>
      </c>
      <c r="I80" s="240" t="s">
        <v>191</v>
      </c>
      <c r="J80" s="140" t="s">
        <v>237</v>
      </c>
      <c r="K80" s="80" t="s">
        <v>238</v>
      </c>
      <c r="L80" s="39"/>
      <c r="M80" s="150">
        <v>220</v>
      </c>
      <c r="N80" s="38" t="str">
        <f>"149,6000"</f>
        <v>149,6000</v>
      </c>
      <c r="O80" s="93" t="s">
        <v>51</v>
      </c>
    </row>
    <row r="81" spans="1:15" ht="12.75">
      <c r="A81" s="29">
        <v>3</v>
      </c>
      <c r="B81" s="469"/>
      <c r="C81" s="92" t="s">
        <v>4174</v>
      </c>
      <c r="D81" s="92" t="s">
        <v>1480</v>
      </c>
      <c r="E81" s="92" t="s">
        <v>1785</v>
      </c>
      <c r="F81" s="18" t="str">
        <f>"0,6754"</f>
        <v>0,6754</v>
      </c>
      <c r="G81" s="79" t="s">
        <v>31</v>
      </c>
      <c r="H81" s="18" t="s">
        <v>1642</v>
      </c>
      <c r="I81" s="240" t="s">
        <v>191</v>
      </c>
      <c r="J81" s="47" t="s">
        <v>252</v>
      </c>
      <c r="K81" s="240" t="s">
        <v>237</v>
      </c>
      <c r="L81" s="39"/>
      <c r="M81" s="150">
        <v>220</v>
      </c>
      <c r="N81" s="38" t="str">
        <f>"148,5880"</f>
        <v>148,5880</v>
      </c>
      <c r="O81" s="93" t="s">
        <v>1831</v>
      </c>
    </row>
    <row r="82" spans="1:15" ht="12.75">
      <c r="A82" s="29">
        <v>4</v>
      </c>
      <c r="B82" s="469">
        <v>7</v>
      </c>
      <c r="C82" s="92" t="s">
        <v>4175</v>
      </c>
      <c r="D82" s="92" t="s">
        <v>1481</v>
      </c>
      <c r="E82" s="92" t="s">
        <v>1786</v>
      </c>
      <c r="F82" s="18" t="str">
        <f>"0,6790"</f>
        <v>0,6790</v>
      </c>
      <c r="G82" s="79" t="s">
        <v>125</v>
      </c>
      <c r="H82" s="18" t="s">
        <v>1642</v>
      </c>
      <c r="I82" s="80" t="s">
        <v>190</v>
      </c>
      <c r="J82" s="47" t="s">
        <v>190</v>
      </c>
      <c r="K82" s="240" t="s">
        <v>818</v>
      </c>
      <c r="L82" s="39"/>
      <c r="M82" s="150">
        <v>212.5</v>
      </c>
      <c r="N82" s="38" t="str">
        <f>"144,2875"</f>
        <v>144,2875</v>
      </c>
      <c r="O82" s="93" t="s">
        <v>1832</v>
      </c>
    </row>
    <row r="83" spans="1:15" ht="12.75">
      <c r="A83" s="29">
        <v>1</v>
      </c>
      <c r="B83" s="469"/>
      <c r="C83" s="92" t="s">
        <v>4176</v>
      </c>
      <c r="D83" s="92" t="s">
        <v>1482</v>
      </c>
      <c r="E83" s="92" t="s">
        <v>1787</v>
      </c>
      <c r="F83" s="18" t="str">
        <f>"0,6749"</f>
        <v>0,6749</v>
      </c>
      <c r="G83" s="79" t="s">
        <v>31</v>
      </c>
      <c r="H83" s="18" t="s">
        <v>1483</v>
      </c>
      <c r="I83" s="240" t="s">
        <v>845</v>
      </c>
      <c r="J83" s="140" t="s">
        <v>846</v>
      </c>
      <c r="K83" s="240" t="s">
        <v>1043</v>
      </c>
      <c r="L83" s="47" t="s">
        <v>1484</v>
      </c>
      <c r="M83" s="150">
        <v>282.5</v>
      </c>
      <c r="N83" s="38" t="str">
        <f>"190,6592"</f>
        <v>190,6592</v>
      </c>
      <c r="O83" s="93" t="s">
        <v>1833</v>
      </c>
    </row>
    <row r="84" spans="1:15" ht="12.75">
      <c r="A84" s="29">
        <v>2</v>
      </c>
      <c r="B84" s="469">
        <v>27</v>
      </c>
      <c r="C84" s="92" t="s">
        <v>4177</v>
      </c>
      <c r="D84" s="92" t="s">
        <v>1485</v>
      </c>
      <c r="E84" s="92" t="s">
        <v>1787</v>
      </c>
      <c r="F84" s="18" t="str">
        <f>"0,6749"</f>
        <v>0,6749</v>
      </c>
      <c r="G84" s="79" t="s">
        <v>99</v>
      </c>
      <c r="H84" s="18" t="s">
        <v>152</v>
      </c>
      <c r="I84" s="240" t="s">
        <v>238</v>
      </c>
      <c r="J84" s="47" t="s">
        <v>884</v>
      </c>
      <c r="K84" s="240" t="s">
        <v>884</v>
      </c>
      <c r="L84" s="39"/>
      <c r="M84" s="150">
        <v>255</v>
      </c>
      <c r="N84" s="38" t="str">
        <f>"172,0995"</f>
        <v>172,0995</v>
      </c>
      <c r="O84" s="93" t="s">
        <v>1834</v>
      </c>
    </row>
    <row r="85" spans="1:15" ht="12.75">
      <c r="A85" s="29">
        <v>3</v>
      </c>
      <c r="B85" s="469"/>
      <c r="C85" s="92" t="s">
        <v>4178</v>
      </c>
      <c r="D85" s="92" t="s">
        <v>595</v>
      </c>
      <c r="E85" s="92" t="s">
        <v>1714</v>
      </c>
      <c r="F85" s="18" t="str">
        <f>"0,6759"</f>
        <v>0,6759</v>
      </c>
      <c r="G85" s="79" t="s">
        <v>31</v>
      </c>
      <c r="H85" s="18" t="s">
        <v>1642</v>
      </c>
      <c r="I85" s="80" t="s">
        <v>191</v>
      </c>
      <c r="J85" s="140" t="s">
        <v>191</v>
      </c>
      <c r="K85" s="240" t="s">
        <v>253</v>
      </c>
      <c r="L85" s="39"/>
      <c r="M85" s="150">
        <v>222.5</v>
      </c>
      <c r="N85" s="38" t="str">
        <f>"150,3877"</f>
        <v>150,3877</v>
      </c>
      <c r="O85" s="93" t="s">
        <v>51</v>
      </c>
    </row>
    <row r="86" spans="1:15" ht="12.75">
      <c r="A86" s="29">
        <v>4</v>
      </c>
      <c r="B86" s="469"/>
      <c r="C86" s="92" t="s">
        <v>4179</v>
      </c>
      <c r="D86" s="92" t="s">
        <v>1578</v>
      </c>
      <c r="E86" s="92" t="s">
        <v>1715</v>
      </c>
      <c r="F86" s="18" t="str">
        <f>"0,6811"</f>
        <v>0,6811</v>
      </c>
      <c r="G86" s="79" t="s">
        <v>31</v>
      </c>
      <c r="H86" s="18" t="s">
        <v>1643</v>
      </c>
      <c r="I86" s="240" t="s">
        <v>127</v>
      </c>
      <c r="J86" s="140" t="s">
        <v>176</v>
      </c>
      <c r="K86" s="240" t="s">
        <v>190</v>
      </c>
      <c r="L86" s="39"/>
      <c r="M86" s="150">
        <v>200</v>
      </c>
      <c r="N86" s="38" t="str">
        <f>"136,2200"</f>
        <v>136,2200</v>
      </c>
      <c r="O86" s="93" t="s">
        <v>1145</v>
      </c>
    </row>
    <row r="87" spans="1:15" ht="12.75">
      <c r="A87" s="29">
        <v>5</v>
      </c>
      <c r="B87" s="469">
        <v>6</v>
      </c>
      <c r="C87" s="92" t="s">
        <v>4180</v>
      </c>
      <c r="D87" s="92" t="s">
        <v>1115</v>
      </c>
      <c r="E87" s="92" t="s">
        <v>1788</v>
      </c>
      <c r="F87" s="18" t="str">
        <f>"0,6843"</f>
        <v>0,6843</v>
      </c>
      <c r="G87" s="79" t="s">
        <v>130</v>
      </c>
      <c r="H87" s="18" t="s">
        <v>149</v>
      </c>
      <c r="I87" s="240" t="s">
        <v>132</v>
      </c>
      <c r="J87" s="140" t="s">
        <v>183</v>
      </c>
      <c r="K87" s="240" t="s">
        <v>153</v>
      </c>
      <c r="L87" s="39"/>
      <c r="M87" s="150">
        <v>170</v>
      </c>
      <c r="N87" s="38" t="str">
        <f>"116,3310"</f>
        <v>116,3310</v>
      </c>
      <c r="O87" s="93" t="s">
        <v>1835</v>
      </c>
    </row>
    <row r="88" spans="2:15" ht="12.75">
      <c r="B88" s="469"/>
      <c r="C88" s="92" t="s">
        <v>3179</v>
      </c>
      <c r="D88" s="92" t="s">
        <v>3180</v>
      </c>
      <c r="E88" s="92" t="s">
        <v>1659</v>
      </c>
      <c r="F88" s="18" t="str">
        <f>"0,6774"</f>
        <v>0,6774</v>
      </c>
      <c r="G88" s="79" t="s">
        <v>2115</v>
      </c>
      <c r="H88" s="18" t="s">
        <v>1643</v>
      </c>
      <c r="I88" s="80" t="s">
        <v>63</v>
      </c>
      <c r="J88" s="47" t="s">
        <v>63</v>
      </c>
      <c r="K88" s="80"/>
      <c r="L88" s="39"/>
      <c r="M88" s="255">
        <v>0</v>
      </c>
      <c r="N88" s="38" t="s">
        <v>1639</v>
      </c>
      <c r="O88" s="93" t="s">
        <v>51</v>
      </c>
    </row>
    <row r="89" spans="1:15" ht="12.75">
      <c r="A89" s="29">
        <v>1</v>
      </c>
      <c r="B89" s="469">
        <v>12</v>
      </c>
      <c r="C89" s="92" t="s">
        <v>4181</v>
      </c>
      <c r="D89" s="92" t="s">
        <v>1486</v>
      </c>
      <c r="E89" s="92" t="s">
        <v>1692</v>
      </c>
      <c r="F89" s="18" t="str">
        <f>"0,6724"</f>
        <v>0,6724</v>
      </c>
      <c r="G89" s="79" t="s">
        <v>14</v>
      </c>
      <c r="H89" s="18" t="s">
        <v>1642</v>
      </c>
      <c r="I89" s="240" t="s">
        <v>127</v>
      </c>
      <c r="J89" s="47" t="s">
        <v>190</v>
      </c>
      <c r="K89" s="80" t="s">
        <v>190</v>
      </c>
      <c r="L89" s="39"/>
      <c r="M89" s="150">
        <v>180</v>
      </c>
      <c r="N89" s="38" t="s">
        <v>2150</v>
      </c>
      <c r="O89" s="93" t="s">
        <v>1836</v>
      </c>
    </row>
    <row r="90" spans="1:15" ht="12.75">
      <c r="A90" s="29">
        <v>1</v>
      </c>
      <c r="B90" s="469"/>
      <c r="C90" s="92" t="s">
        <v>4182</v>
      </c>
      <c r="D90" s="92" t="s">
        <v>615</v>
      </c>
      <c r="E90" s="92" t="s">
        <v>1789</v>
      </c>
      <c r="F90" s="18" t="str">
        <f>"0,7099"</f>
        <v>0,7099</v>
      </c>
      <c r="G90" s="79" t="s">
        <v>2146</v>
      </c>
      <c r="H90" s="18" t="s">
        <v>2142</v>
      </c>
      <c r="I90" s="240" t="s">
        <v>480</v>
      </c>
      <c r="J90" s="140" t="s">
        <v>63</v>
      </c>
      <c r="K90" s="240" t="s">
        <v>153</v>
      </c>
      <c r="L90" s="39"/>
      <c r="M90" s="150">
        <v>170</v>
      </c>
      <c r="N90" s="38" t="str">
        <f>"138,7855"</f>
        <v>138,7855</v>
      </c>
      <c r="O90" s="93" t="s">
        <v>51</v>
      </c>
    </row>
    <row r="91" spans="1:15" ht="12.75">
      <c r="A91" s="29">
        <v>1</v>
      </c>
      <c r="B91" s="469">
        <v>12</v>
      </c>
      <c r="C91" s="92" t="s">
        <v>4183</v>
      </c>
      <c r="D91" s="92" t="s">
        <v>620</v>
      </c>
      <c r="E91" s="92" t="s">
        <v>1716</v>
      </c>
      <c r="F91" s="18" t="str">
        <f>"0,6888"</f>
        <v>0,6888</v>
      </c>
      <c r="G91" s="79" t="s">
        <v>125</v>
      </c>
      <c r="H91" s="18" t="s">
        <v>621</v>
      </c>
      <c r="I91" s="240" t="s">
        <v>132</v>
      </c>
      <c r="J91" s="140" t="s">
        <v>64</v>
      </c>
      <c r="K91" s="240" t="s">
        <v>153</v>
      </c>
      <c r="L91" s="39"/>
      <c r="M91" s="150">
        <v>170</v>
      </c>
      <c r="N91" s="38" t="s">
        <v>1428</v>
      </c>
      <c r="O91" s="93" t="s">
        <v>51</v>
      </c>
    </row>
    <row r="92" spans="1:15" ht="12.75">
      <c r="A92" s="29">
        <v>2</v>
      </c>
      <c r="B92" s="469"/>
      <c r="C92" s="94" t="s">
        <v>622</v>
      </c>
      <c r="D92" s="94" t="s">
        <v>623</v>
      </c>
      <c r="E92" s="94" t="s">
        <v>48</v>
      </c>
      <c r="F92" s="19" t="str">
        <f>"0,6827"</f>
        <v>0,6827</v>
      </c>
      <c r="G92" s="98" t="s">
        <v>2146</v>
      </c>
      <c r="H92" s="19" t="s">
        <v>2143</v>
      </c>
      <c r="I92" s="148" t="s">
        <v>48</v>
      </c>
      <c r="J92" s="139" t="s">
        <v>303</v>
      </c>
      <c r="K92" s="99"/>
      <c r="L92" s="42"/>
      <c r="M92" s="152">
        <v>100</v>
      </c>
      <c r="N92" s="41" t="str">
        <f>"137,9054"</f>
        <v>137,9054</v>
      </c>
      <c r="O92" s="95" t="s">
        <v>51</v>
      </c>
    </row>
    <row r="93" ht="12.75">
      <c r="B93" s="470"/>
    </row>
    <row r="94" spans="2:14" ht="15.75">
      <c r="B94" s="469"/>
      <c r="C94" s="541" t="s">
        <v>59</v>
      </c>
      <c r="D94" s="541"/>
      <c r="E94" s="541"/>
      <c r="F94" s="541"/>
      <c r="G94" s="541"/>
      <c r="H94" s="541"/>
      <c r="I94" s="541"/>
      <c r="J94" s="541"/>
      <c r="K94" s="541"/>
      <c r="L94" s="541"/>
      <c r="M94" s="541"/>
      <c r="N94" s="541"/>
    </row>
    <row r="95" spans="1:15" ht="12.75">
      <c r="A95" s="29">
        <v>1</v>
      </c>
      <c r="B95" s="469">
        <v>12</v>
      </c>
      <c r="C95" s="17" t="s">
        <v>4184</v>
      </c>
      <c r="D95" s="17" t="s">
        <v>625</v>
      </c>
      <c r="E95" s="17" t="s">
        <v>1717</v>
      </c>
      <c r="F95" s="17" t="str">
        <f>"0,8871"</f>
        <v>0,8871</v>
      </c>
      <c r="G95" s="17" t="s">
        <v>125</v>
      </c>
      <c r="H95" s="17" t="s">
        <v>445</v>
      </c>
      <c r="I95" s="138" t="s">
        <v>64</v>
      </c>
      <c r="J95" s="46" t="s">
        <v>127</v>
      </c>
      <c r="K95" s="46" t="s">
        <v>127</v>
      </c>
      <c r="L95" s="36"/>
      <c r="M95" s="44">
        <v>160</v>
      </c>
      <c r="N95" s="35" t="str">
        <f>"141,9360"</f>
        <v>141,9360</v>
      </c>
      <c r="O95" s="17" t="s">
        <v>1699</v>
      </c>
    </row>
    <row r="96" spans="1:15" ht="12.75">
      <c r="A96" s="29">
        <v>1</v>
      </c>
      <c r="B96" s="469"/>
      <c r="C96" s="18" t="s">
        <v>4185</v>
      </c>
      <c r="D96" s="18" t="s">
        <v>1487</v>
      </c>
      <c r="E96" s="18" t="s">
        <v>1790</v>
      </c>
      <c r="F96" s="18" t="str">
        <f>"0,6417"</f>
        <v>0,6417</v>
      </c>
      <c r="G96" s="18" t="s">
        <v>31</v>
      </c>
      <c r="H96" s="18" t="s">
        <v>573</v>
      </c>
      <c r="I96" s="140" t="s">
        <v>108</v>
      </c>
      <c r="J96" s="47" t="s">
        <v>190</v>
      </c>
      <c r="K96" s="47" t="s">
        <v>190</v>
      </c>
      <c r="L96" s="39"/>
      <c r="M96" s="40">
        <v>190</v>
      </c>
      <c r="N96" s="38" t="s">
        <v>2149</v>
      </c>
      <c r="O96" s="18" t="s">
        <v>1837</v>
      </c>
    </row>
    <row r="97" spans="1:15" ht="12.75">
      <c r="A97" s="29">
        <v>1</v>
      </c>
      <c r="B97" s="469"/>
      <c r="C97" s="18" t="s">
        <v>4186</v>
      </c>
      <c r="D97" s="18" t="s">
        <v>1489</v>
      </c>
      <c r="E97" s="18" t="s">
        <v>1791</v>
      </c>
      <c r="F97" s="18" t="str">
        <f>"0,6388"</f>
        <v>0,6388</v>
      </c>
      <c r="G97" s="18" t="s">
        <v>31</v>
      </c>
      <c r="H97" s="18" t="s">
        <v>1642</v>
      </c>
      <c r="I97" s="140" t="s">
        <v>901</v>
      </c>
      <c r="J97" s="47" t="s">
        <v>860</v>
      </c>
      <c r="K97" s="140" t="s">
        <v>860</v>
      </c>
      <c r="L97" s="39"/>
      <c r="M97" s="40">
        <v>300</v>
      </c>
      <c r="N97" s="38" t="str">
        <f>"191,6400"</f>
        <v>191,6400</v>
      </c>
      <c r="O97" s="18" t="s">
        <v>51</v>
      </c>
    </row>
    <row r="98" spans="1:15" ht="12.75">
      <c r="A98" s="29">
        <v>2</v>
      </c>
      <c r="B98" s="469"/>
      <c r="C98" s="18" t="s">
        <v>4187</v>
      </c>
      <c r="D98" s="18" t="s">
        <v>1491</v>
      </c>
      <c r="E98" s="18" t="s">
        <v>1793</v>
      </c>
      <c r="F98" s="18" t="str">
        <f>"0,6507"</f>
        <v>0,6507</v>
      </c>
      <c r="G98" s="18" t="s">
        <v>31</v>
      </c>
      <c r="H98" s="18" t="s">
        <v>1642</v>
      </c>
      <c r="I98" s="140" t="s">
        <v>992</v>
      </c>
      <c r="J98" s="47" t="s">
        <v>341</v>
      </c>
      <c r="K98" s="47" t="s">
        <v>341</v>
      </c>
      <c r="L98" s="39"/>
      <c r="M98" s="40">
        <v>265</v>
      </c>
      <c r="N98" s="38" t="s">
        <v>2151</v>
      </c>
      <c r="O98" s="18" t="s">
        <v>1838</v>
      </c>
    </row>
    <row r="99" spans="1:15" ht="12.75">
      <c r="A99" s="29">
        <v>3</v>
      </c>
      <c r="B99" s="469"/>
      <c r="C99" s="18" t="s">
        <v>3870</v>
      </c>
      <c r="D99" s="18" t="s">
        <v>156</v>
      </c>
      <c r="E99" s="18" t="s">
        <v>1677</v>
      </c>
      <c r="F99" s="18" t="str">
        <f>"0,6410"</f>
        <v>0,6410</v>
      </c>
      <c r="G99" s="18" t="s">
        <v>31</v>
      </c>
      <c r="H99" s="18" t="s">
        <v>1675</v>
      </c>
      <c r="I99" s="140" t="s">
        <v>319</v>
      </c>
      <c r="J99" s="140" t="s">
        <v>992</v>
      </c>
      <c r="K99" s="47" t="s">
        <v>846</v>
      </c>
      <c r="L99" s="39"/>
      <c r="M99" s="40">
        <v>265</v>
      </c>
      <c r="N99" s="38" t="str">
        <f>"169,8650"</f>
        <v>169,8650</v>
      </c>
      <c r="O99" s="18" t="s">
        <v>158</v>
      </c>
    </row>
    <row r="100" spans="1:15" ht="12.75">
      <c r="A100" s="29">
        <v>4</v>
      </c>
      <c r="B100" s="469">
        <v>7</v>
      </c>
      <c r="C100" s="18" t="s">
        <v>4188</v>
      </c>
      <c r="D100" s="18" t="s">
        <v>1127</v>
      </c>
      <c r="E100" s="18" t="s">
        <v>1792</v>
      </c>
      <c r="F100" s="18" t="str">
        <f>"0,6511"</f>
        <v>0,6511</v>
      </c>
      <c r="G100" s="18" t="s">
        <v>483</v>
      </c>
      <c r="H100" s="18" t="s">
        <v>484</v>
      </c>
      <c r="I100" s="140" t="s">
        <v>109</v>
      </c>
      <c r="J100" s="140" t="s">
        <v>192</v>
      </c>
      <c r="K100" s="39"/>
      <c r="L100" s="39"/>
      <c r="M100" s="40">
        <v>215</v>
      </c>
      <c r="N100" s="38" t="str">
        <f>"139,9865"</f>
        <v>139,9865</v>
      </c>
      <c r="O100" s="18" t="s">
        <v>1821</v>
      </c>
    </row>
    <row r="101" spans="1:15" ht="12.75">
      <c r="A101" s="29">
        <v>5</v>
      </c>
      <c r="B101" s="469">
        <v>6</v>
      </c>
      <c r="C101" s="18" t="s">
        <v>4189</v>
      </c>
      <c r="D101" s="18" t="s">
        <v>1490</v>
      </c>
      <c r="E101" s="18" t="s">
        <v>1718</v>
      </c>
      <c r="F101" s="18" t="str">
        <f>"0,6424"</f>
        <v>0,6424</v>
      </c>
      <c r="G101" s="18" t="s">
        <v>14</v>
      </c>
      <c r="H101" s="92" t="s">
        <v>1642</v>
      </c>
      <c r="I101" s="140" t="s">
        <v>192</v>
      </c>
      <c r="J101" s="80" t="s">
        <v>245</v>
      </c>
      <c r="K101" s="47" t="s">
        <v>245</v>
      </c>
      <c r="L101" s="102"/>
      <c r="M101" s="40">
        <v>215</v>
      </c>
      <c r="N101" s="38" t="str">
        <f>"138,1160"</f>
        <v>138,1160</v>
      </c>
      <c r="O101" s="18" t="s">
        <v>51</v>
      </c>
    </row>
    <row r="102" spans="1:15" ht="12.75">
      <c r="A102" s="29">
        <v>1</v>
      </c>
      <c r="B102" s="469">
        <v>12</v>
      </c>
      <c r="C102" s="19" t="s">
        <v>4190</v>
      </c>
      <c r="D102" s="19" t="s">
        <v>1492</v>
      </c>
      <c r="E102" s="19" t="s">
        <v>1794</v>
      </c>
      <c r="F102" s="19" t="str">
        <f>"0,6562"</f>
        <v>0,6562</v>
      </c>
      <c r="G102" s="19" t="s">
        <v>2104</v>
      </c>
      <c r="H102" s="19" t="s">
        <v>1642</v>
      </c>
      <c r="I102" s="139" t="s">
        <v>132</v>
      </c>
      <c r="J102" s="48" t="s">
        <v>64</v>
      </c>
      <c r="K102" s="139" t="s">
        <v>64</v>
      </c>
      <c r="L102" s="42"/>
      <c r="M102" s="43">
        <v>160</v>
      </c>
      <c r="N102" s="41" t="str">
        <f>"174,7067"</f>
        <v>174,7067</v>
      </c>
      <c r="O102" s="19" t="s">
        <v>1670</v>
      </c>
    </row>
    <row r="103" ht="12.75">
      <c r="B103" s="470"/>
    </row>
    <row r="104" spans="2:14" ht="15.75">
      <c r="B104" s="469"/>
      <c r="C104" s="541" t="s">
        <v>164</v>
      </c>
      <c r="D104" s="541"/>
      <c r="E104" s="541"/>
      <c r="F104" s="541"/>
      <c r="G104" s="541"/>
      <c r="H104" s="541"/>
      <c r="I104" s="541"/>
      <c r="J104" s="541"/>
      <c r="K104" s="541"/>
      <c r="L104" s="541"/>
      <c r="M104" s="541"/>
      <c r="N104" s="541"/>
    </row>
    <row r="105" spans="1:15" ht="12.75">
      <c r="A105" s="29">
        <v>1</v>
      </c>
      <c r="B105" s="469"/>
      <c r="C105" s="17" t="s">
        <v>4191</v>
      </c>
      <c r="D105" s="17" t="s">
        <v>1493</v>
      </c>
      <c r="E105" s="17" t="s">
        <v>1637</v>
      </c>
      <c r="F105" s="17" t="str">
        <f>"0,6180"</f>
        <v>0,6180</v>
      </c>
      <c r="G105" s="17" t="s">
        <v>31</v>
      </c>
      <c r="H105" s="17" t="s">
        <v>1642</v>
      </c>
      <c r="I105" s="138" t="s">
        <v>120</v>
      </c>
      <c r="J105" s="138" t="s">
        <v>191</v>
      </c>
      <c r="K105" s="138" t="s">
        <v>237</v>
      </c>
      <c r="L105" s="36"/>
      <c r="M105" s="44">
        <v>220</v>
      </c>
      <c r="N105" s="35" t="str">
        <f>"135,9600"</f>
        <v>135,9600</v>
      </c>
      <c r="O105" s="17" t="s">
        <v>51</v>
      </c>
    </row>
    <row r="106" spans="1:15" ht="12.75">
      <c r="A106" s="29">
        <v>1</v>
      </c>
      <c r="B106" s="469">
        <v>24</v>
      </c>
      <c r="C106" s="18" t="s">
        <v>4192</v>
      </c>
      <c r="D106" s="18" t="s">
        <v>1494</v>
      </c>
      <c r="E106" s="18" t="s">
        <v>1795</v>
      </c>
      <c r="F106" s="18" t="str">
        <f>"0,6144"</f>
        <v>0,6144</v>
      </c>
      <c r="G106" s="18" t="s">
        <v>54</v>
      </c>
      <c r="H106" s="18" t="s">
        <v>1641</v>
      </c>
      <c r="I106" s="140" t="s">
        <v>319</v>
      </c>
      <c r="J106" s="140" t="s">
        <v>931</v>
      </c>
      <c r="K106" s="47" t="s">
        <v>341</v>
      </c>
      <c r="L106" s="39"/>
      <c r="M106" s="40">
        <v>262.5</v>
      </c>
      <c r="N106" s="38" t="str">
        <f>"161,2800"</f>
        <v>161,2800</v>
      </c>
      <c r="O106" s="18" t="s">
        <v>1839</v>
      </c>
    </row>
    <row r="107" spans="1:15" ht="12.75">
      <c r="A107" s="29">
        <v>2</v>
      </c>
      <c r="B107" s="469">
        <v>21</v>
      </c>
      <c r="C107" s="18" t="s">
        <v>4193</v>
      </c>
      <c r="D107" s="18" t="s">
        <v>1495</v>
      </c>
      <c r="E107" s="18" t="s">
        <v>33</v>
      </c>
      <c r="F107" s="18" t="str">
        <f>"0,6220"</f>
        <v>0,6220</v>
      </c>
      <c r="G107" s="18" t="s">
        <v>2104</v>
      </c>
      <c r="H107" s="18" t="s">
        <v>1642</v>
      </c>
      <c r="I107" s="140" t="s">
        <v>317</v>
      </c>
      <c r="J107" s="140" t="s">
        <v>319</v>
      </c>
      <c r="K107" s="140" t="s">
        <v>845</v>
      </c>
      <c r="L107" s="39"/>
      <c r="M107" s="40">
        <v>260</v>
      </c>
      <c r="N107" s="38" t="str">
        <f>"161,7200"</f>
        <v>161,7200</v>
      </c>
      <c r="O107" s="18" t="s">
        <v>51</v>
      </c>
    </row>
    <row r="108" spans="1:15" ht="12.75">
      <c r="A108" s="29">
        <v>3</v>
      </c>
      <c r="B108" s="469"/>
      <c r="C108" s="18" t="s">
        <v>4194</v>
      </c>
      <c r="D108" s="18" t="s">
        <v>1498</v>
      </c>
      <c r="E108" s="18" t="s">
        <v>1796</v>
      </c>
      <c r="F108" s="18" t="str">
        <f>"0,6093"</f>
        <v>0,6093</v>
      </c>
      <c r="G108" s="18" t="s">
        <v>31</v>
      </c>
      <c r="H108" s="18" t="s">
        <v>1642</v>
      </c>
      <c r="I108" s="140" t="s">
        <v>884</v>
      </c>
      <c r="J108" s="47" t="s">
        <v>846</v>
      </c>
      <c r="K108" s="47" t="s">
        <v>846</v>
      </c>
      <c r="L108" s="39"/>
      <c r="M108" s="40">
        <v>255</v>
      </c>
      <c r="N108" s="38" t="s">
        <v>2172</v>
      </c>
      <c r="O108" s="18" t="s">
        <v>1840</v>
      </c>
    </row>
    <row r="109" spans="1:15" ht="12.75">
      <c r="A109" s="29">
        <v>4</v>
      </c>
      <c r="B109" s="469"/>
      <c r="C109" s="18" t="s">
        <v>4195</v>
      </c>
      <c r="D109" s="18" t="s">
        <v>1496</v>
      </c>
      <c r="E109" s="18" t="s">
        <v>1638</v>
      </c>
      <c r="F109" s="18" t="str">
        <f>"0,6116"</f>
        <v>0,6116</v>
      </c>
      <c r="G109" s="18" t="s">
        <v>31</v>
      </c>
      <c r="H109" s="18" t="s">
        <v>573</v>
      </c>
      <c r="I109" s="140" t="s">
        <v>190</v>
      </c>
      <c r="J109" s="140" t="s">
        <v>237</v>
      </c>
      <c r="K109" s="140" t="s">
        <v>238</v>
      </c>
      <c r="L109" s="39"/>
      <c r="M109" s="40">
        <v>230</v>
      </c>
      <c r="N109" s="38" t="str">
        <f>"140,6680"</f>
        <v>140,6680</v>
      </c>
      <c r="O109" s="18" t="s">
        <v>51</v>
      </c>
    </row>
    <row r="110" spans="1:15" ht="12.75">
      <c r="A110" s="29">
        <v>5</v>
      </c>
      <c r="B110" s="469">
        <v>6</v>
      </c>
      <c r="C110" s="18" t="s">
        <v>4162</v>
      </c>
      <c r="D110" s="18" t="s">
        <v>1497</v>
      </c>
      <c r="E110" s="18" t="s">
        <v>1720</v>
      </c>
      <c r="F110" s="18" t="str">
        <f>"0,6169"</f>
        <v>0,6169</v>
      </c>
      <c r="G110" s="18" t="s">
        <v>125</v>
      </c>
      <c r="H110" s="18" t="s">
        <v>445</v>
      </c>
      <c r="I110" s="140" t="s">
        <v>191</v>
      </c>
      <c r="J110" s="47" t="s">
        <v>245</v>
      </c>
      <c r="K110" s="47" t="s">
        <v>245</v>
      </c>
      <c r="L110" s="39"/>
      <c r="M110" s="40">
        <v>210</v>
      </c>
      <c r="N110" s="38" t="str">
        <f>"129,5490"</f>
        <v>129,5490</v>
      </c>
      <c r="O110" s="18" t="s">
        <v>1699</v>
      </c>
    </row>
    <row r="111" spans="1:15" ht="12.75">
      <c r="A111" s="29">
        <v>6</v>
      </c>
      <c r="B111" s="469">
        <v>5</v>
      </c>
      <c r="C111" s="18" t="s">
        <v>4196</v>
      </c>
      <c r="D111" s="18" t="s">
        <v>1264</v>
      </c>
      <c r="E111" s="18" t="s">
        <v>1721</v>
      </c>
      <c r="F111" s="18" t="str">
        <f>"0,6203"</f>
        <v>0,6203</v>
      </c>
      <c r="G111" s="18" t="s">
        <v>2104</v>
      </c>
      <c r="H111" s="18" t="s">
        <v>1642</v>
      </c>
      <c r="I111" s="140" t="s">
        <v>175</v>
      </c>
      <c r="J111" s="140" t="s">
        <v>120</v>
      </c>
      <c r="K111" s="140" t="s">
        <v>121</v>
      </c>
      <c r="L111" s="39"/>
      <c r="M111" s="40">
        <v>205</v>
      </c>
      <c r="N111" s="38" t="s">
        <v>2171</v>
      </c>
      <c r="O111" s="18" t="s">
        <v>51</v>
      </c>
    </row>
    <row r="112" spans="1:15" ht="12.75">
      <c r="A112" s="29">
        <v>7</v>
      </c>
      <c r="B112" s="469"/>
      <c r="C112" s="18" t="s">
        <v>4197</v>
      </c>
      <c r="D112" s="18" t="s">
        <v>683</v>
      </c>
      <c r="E112" s="18" t="s">
        <v>1722</v>
      </c>
      <c r="F112" s="18" t="str">
        <f>"0,6223"</f>
        <v>0,6223</v>
      </c>
      <c r="G112" s="18" t="s">
        <v>31</v>
      </c>
      <c r="H112" s="18" t="s">
        <v>2128</v>
      </c>
      <c r="I112" s="140" t="s">
        <v>88</v>
      </c>
      <c r="J112" s="103" t="s">
        <v>480</v>
      </c>
      <c r="K112" s="140" t="s">
        <v>64</v>
      </c>
      <c r="L112" s="39"/>
      <c r="M112" s="40">
        <v>160</v>
      </c>
      <c r="N112" s="38" t="s">
        <v>2159</v>
      </c>
      <c r="O112" s="18" t="s">
        <v>51</v>
      </c>
    </row>
    <row r="113" spans="2:15" ht="12.75">
      <c r="B113" s="469"/>
      <c r="C113" s="18" t="s">
        <v>3181</v>
      </c>
      <c r="D113" s="18" t="s">
        <v>3182</v>
      </c>
      <c r="E113" s="18" t="s">
        <v>1867</v>
      </c>
      <c r="F113" s="18" t="str">
        <f>"0,6006"</f>
        <v>0,6006</v>
      </c>
      <c r="G113" s="18" t="s">
        <v>31</v>
      </c>
      <c r="H113" s="18" t="s">
        <v>3183</v>
      </c>
      <c r="I113" s="47" t="s">
        <v>183</v>
      </c>
      <c r="J113" s="80" t="s">
        <v>126</v>
      </c>
      <c r="K113" s="80" t="s">
        <v>126</v>
      </c>
      <c r="L113" s="102"/>
      <c r="M113" s="250">
        <v>0</v>
      </c>
      <c r="N113" s="38" t="s">
        <v>1639</v>
      </c>
      <c r="O113" s="18" t="s">
        <v>51</v>
      </c>
    </row>
    <row r="114" spans="1:15" ht="12.75">
      <c r="A114" s="29">
        <v>1</v>
      </c>
      <c r="B114" s="469"/>
      <c r="C114" s="19" t="s">
        <v>701</v>
      </c>
      <c r="D114" s="19" t="s">
        <v>702</v>
      </c>
      <c r="E114" s="19" t="s">
        <v>1797</v>
      </c>
      <c r="F114" s="19" t="str">
        <f>"0,6209"</f>
        <v>0,6209</v>
      </c>
      <c r="G114" s="19" t="s">
        <v>2146</v>
      </c>
      <c r="H114" s="19" t="s">
        <v>2147</v>
      </c>
      <c r="I114" s="139" t="s">
        <v>88</v>
      </c>
      <c r="J114" s="139" t="s">
        <v>551</v>
      </c>
      <c r="K114" s="48" t="s">
        <v>132</v>
      </c>
      <c r="L114" s="42"/>
      <c r="M114" s="43">
        <v>135</v>
      </c>
      <c r="N114" s="41" t="str">
        <f>"97,9035"</f>
        <v>97,9035</v>
      </c>
      <c r="O114" s="19" t="s">
        <v>51</v>
      </c>
    </row>
    <row r="115" ht="12.75">
      <c r="B115" s="470"/>
    </row>
    <row r="116" spans="2:14" ht="15.75">
      <c r="B116" s="469"/>
      <c r="C116" s="541" t="s">
        <v>227</v>
      </c>
      <c r="D116" s="541"/>
      <c r="E116" s="541"/>
      <c r="F116" s="541"/>
      <c r="G116" s="541"/>
      <c r="H116" s="541"/>
      <c r="I116" s="541"/>
      <c r="J116" s="541"/>
      <c r="K116" s="541"/>
      <c r="L116" s="541"/>
      <c r="M116" s="541"/>
      <c r="N116" s="541"/>
    </row>
    <row r="117" spans="1:15" ht="12.75">
      <c r="A117" s="29">
        <v>1</v>
      </c>
      <c r="B117" s="469">
        <v>36</v>
      </c>
      <c r="C117" s="17" t="s">
        <v>4620</v>
      </c>
      <c r="D117" s="17" t="s">
        <v>1392</v>
      </c>
      <c r="E117" s="17" t="s">
        <v>1798</v>
      </c>
      <c r="F117" s="17" t="str">
        <f>"0,5917"</f>
        <v>0,5917</v>
      </c>
      <c r="G117" s="17" t="s">
        <v>14</v>
      </c>
      <c r="H117" s="83" t="s">
        <v>1393</v>
      </c>
      <c r="I117" s="142" t="s">
        <v>915</v>
      </c>
      <c r="J117" s="142" t="s">
        <v>1394</v>
      </c>
      <c r="K117" s="46" t="s">
        <v>1249</v>
      </c>
      <c r="L117" s="101"/>
      <c r="M117" s="44">
        <v>362.5</v>
      </c>
      <c r="N117" s="35" t="str">
        <f>"214,4913"</f>
        <v>214,4913</v>
      </c>
      <c r="O117" s="17" t="s">
        <v>1841</v>
      </c>
    </row>
    <row r="118" spans="1:15" ht="12.75">
      <c r="A118" s="29">
        <v>2</v>
      </c>
      <c r="B118" s="469"/>
      <c r="C118" s="18" t="s">
        <v>4457</v>
      </c>
      <c r="D118" s="18" t="s">
        <v>1335</v>
      </c>
      <c r="E118" s="18" t="s">
        <v>25</v>
      </c>
      <c r="F118" s="18" t="str">
        <f>"0,5885"</f>
        <v>0,5885</v>
      </c>
      <c r="G118" s="18" t="s">
        <v>31</v>
      </c>
      <c r="H118" s="92" t="s">
        <v>294</v>
      </c>
      <c r="I118" s="143" t="s">
        <v>834</v>
      </c>
      <c r="J118" s="143" t="s">
        <v>855</v>
      </c>
      <c r="K118" s="39"/>
      <c r="L118" s="102"/>
      <c r="M118" s="40">
        <v>325</v>
      </c>
      <c r="N118" s="38" t="str">
        <f>"191,2625"</f>
        <v>191,2625</v>
      </c>
      <c r="O118" s="18" t="s">
        <v>51</v>
      </c>
    </row>
    <row r="119" spans="1:15" ht="12.75">
      <c r="A119" s="29">
        <v>3</v>
      </c>
      <c r="B119" s="469">
        <v>20</v>
      </c>
      <c r="C119" s="18" t="s">
        <v>4622</v>
      </c>
      <c r="D119" s="18" t="s">
        <v>1499</v>
      </c>
      <c r="E119" s="18" t="s">
        <v>1799</v>
      </c>
      <c r="F119" s="18" t="str">
        <f>"0,6039"</f>
        <v>0,6039</v>
      </c>
      <c r="G119" s="18" t="s">
        <v>54</v>
      </c>
      <c r="H119" s="92" t="s">
        <v>1808</v>
      </c>
      <c r="I119" s="143" t="s">
        <v>845</v>
      </c>
      <c r="J119" s="143" t="s">
        <v>341</v>
      </c>
      <c r="K119" s="140" t="s">
        <v>913</v>
      </c>
      <c r="L119" s="102"/>
      <c r="M119" s="40">
        <v>280</v>
      </c>
      <c r="N119" s="38" t="str">
        <f>"169,0920"</f>
        <v>169,0920</v>
      </c>
      <c r="O119" s="18" t="s">
        <v>1842</v>
      </c>
    </row>
    <row r="120" spans="1:15" ht="12.75">
      <c r="A120" s="29">
        <v>4</v>
      </c>
      <c r="B120" s="469">
        <v>19</v>
      </c>
      <c r="C120" s="18" t="s">
        <v>4621</v>
      </c>
      <c r="D120" s="18" t="s">
        <v>1500</v>
      </c>
      <c r="E120" s="18" t="s">
        <v>1800</v>
      </c>
      <c r="F120" s="18" t="str">
        <f>"0,5972"</f>
        <v>0,5972</v>
      </c>
      <c r="G120" s="18" t="s">
        <v>14</v>
      </c>
      <c r="H120" s="92" t="s">
        <v>1393</v>
      </c>
      <c r="I120" s="143" t="s">
        <v>845</v>
      </c>
      <c r="J120" s="127" t="s">
        <v>341</v>
      </c>
      <c r="K120" s="47" t="s">
        <v>341</v>
      </c>
      <c r="L120" s="102"/>
      <c r="M120" s="40">
        <v>260</v>
      </c>
      <c r="N120" s="38" t="s">
        <v>2158</v>
      </c>
      <c r="O120" s="18" t="s">
        <v>1841</v>
      </c>
    </row>
    <row r="121" spans="1:15" ht="12.75">
      <c r="A121" s="29">
        <v>5</v>
      </c>
      <c r="B121" s="469">
        <v>18</v>
      </c>
      <c r="C121" s="18" t="s">
        <v>4131</v>
      </c>
      <c r="D121" s="18" t="s">
        <v>1137</v>
      </c>
      <c r="E121" s="18" t="s">
        <v>1678</v>
      </c>
      <c r="F121" s="18" t="str">
        <f>"0,5903"</f>
        <v>0,5903</v>
      </c>
      <c r="G121" s="18" t="s">
        <v>130</v>
      </c>
      <c r="H121" s="92" t="s">
        <v>967</v>
      </c>
      <c r="I121" s="143" t="s">
        <v>126</v>
      </c>
      <c r="J121" s="143" t="s">
        <v>238</v>
      </c>
      <c r="K121" s="140" t="s">
        <v>318</v>
      </c>
      <c r="L121" s="102"/>
      <c r="M121" s="40">
        <v>247.5</v>
      </c>
      <c r="N121" s="38" t="str">
        <f>"146,0993"</f>
        <v>146,0993</v>
      </c>
      <c r="O121" s="18" t="s">
        <v>51</v>
      </c>
    </row>
    <row r="122" spans="1:15" ht="12.75">
      <c r="A122" s="29">
        <v>6</v>
      </c>
      <c r="B122" s="469"/>
      <c r="C122" s="18" t="s">
        <v>4198</v>
      </c>
      <c r="D122" s="18" t="s">
        <v>715</v>
      </c>
      <c r="E122" s="18" t="s">
        <v>1682</v>
      </c>
      <c r="F122" s="18" t="str">
        <f>"0,5978"</f>
        <v>0,5978</v>
      </c>
      <c r="G122" s="18" t="s">
        <v>2146</v>
      </c>
      <c r="H122" s="92" t="s">
        <v>2144</v>
      </c>
      <c r="I122" s="143" t="s">
        <v>239</v>
      </c>
      <c r="J122" s="127" t="s">
        <v>883</v>
      </c>
      <c r="K122" s="39"/>
      <c r="L122" s="102"/>
      <c r="M122" s="40">
        <v>235</v>
      </c>
      <c r="N122" s="38" t="s">
        <v>2157</v>
      </c>
      <c r="O122" s="18" t="s">
        <v>51</v>
      </c>
    </row>
    <row r="123" spans="1:15" ht="12.75">
      <c r="A123" s="29">
        <v>7</v>
      </c>
      <c r="B123" s="469"/>
      <c r="C123" s="18" t="s">
        <v>4199</v>
      </c>
      <c r="D123" s="92" t="s">
        <v>3184</v>
      </c>
      <c r="E123" s="18" t="s">
        <v>1752</v>
      </c>
      <c r="F123" s="93" t="str">
        <f>"0,5902"</f>
        <v>0,5902</v>
      </c>
      <c r="G123" s="93" t="s">
        <v>31</v>
      </c>
      <c r="H123" s="92" t="s">
        <v>1642</v>
      </c>
      <c r="I123" s="143" t="s">
        <v>192</v>
      </c>
      <c r="J123" s="127" t="s">
        <v>237</v>
      </c>
      <c r="K123" s="47" t="s">
        <v>237</v>
      </c>
      <c r="L123" s="102"/>
      <c r="M123" s="40">
        <v>215</v>
      </c>
      <c r="N123" s="38" t="s">
        <v>3185</v>
      </c>
      <c r="O123" s="18" t="s">
        <v>51</v>
      </c>
    </row>
    <row r="124" spans="1:15" ht="12.75">
      <c r="A124" s="29">
        <v>1</v>
      </c>
      <c r="B124" s="469">
        <v>12</v>
      </c>
      <c r="C124" s="18" t="s">
        <v>4624</v>
      </c>
      <c r="D124" s="18" t="s">
        <v>1501</v>
      </c>
      <c r="E124" s="18" t="s">
        <v>1801</v>
      </c>
      <c r="F124" s="18" t="str">
        <f>"0,5932"</f>
        <v>0,5932</v>
      </c>
      <c r="G124" s="18" t="s">
        <v>431</v>
      </c>
      <c r="H124" s="92" t="s">
        <v>1642</v>
      </c>
      <c r="I124" s="143" t="s">
        <v>237</v>
      </c>
      <c r="J124" s="127" t="s">
        <v>238</v>
      </c>
      <c r="K124" s="140" t="s">
        <v>317</v>
      </c>
      <c r="L124" s="102"/>
      <c r="M124" s="40">
        <v>240</v>
      </c>
      <c r="N124" s="38" t="str">
        <f>"143,0798"</f>
        <v>143,0798</v>
      </c>
      <c r="O124" s="18" t="s">
        <v>51</v>
      </c>
    </row>
    <row r="125" spans="1:15" ht="12.75">
      <c r="A125" s="29">
        <v>2</v>
      </c>
      <c r="B125" s="469">
        <v>9</v>
      </c>
      <c r="C125" s="18" t="s">
        <v>4623</v>
      </c>
      <c r="D125" s="18" t="s">
        <v>1502</v>
      </c>
      <c r="E125" s="18" t="s">
        <v>1802</v>
      </c>
      <c r="F125" s="18" t="str">
        <f>"0,5921"</f>
        <v>0,5921</v>
      </c>
      <c r="G125" s="18" t="s">
        <v>14</v>
      </c>
      <c r="H125" s="92" t="s">
        <v>1642</v>
      </c>
      <c r="I125" s="143" t="s">
        <v>192</v>
      </c>
      <c r="J125" s="143" t="s">
        <v>238</v>
      </c>
      <c r="K125" s="47" t="s">
        <v>317</v>
      </c>
      <c r="L125" s="102"/>
      <c r="M125" s="40">
        <v>230</v>
      </c>
      <c r="N125" s="38" t="str">
        <f>"139,9961"</f>
        <v>139,9961</v>
      </c>
      <c r="O125" s="18" t="s">
        <v>1664</v>
      </c>
    </row>
    <row r="126" spans="1:15" ht="12.75">
      <c r="A126" s="29">
        <v>1</v>
      </c>
      <c r="B126" s="469">
        <v>24</v>
      </c>
      <c r="C126" s="19" t="s">
        <v>4131</v>
      </c>
      <c r="D126" s="19" t="s">
        <v>1141</v>
      </c>
      <c r="E126" s="19" t="s">
        <v>1678</v>
      </c>
      <c r="F126" s="19" t="str">
        <f>"0,5903"</f>
        <v>0,5903</v>
      </c>
      <c r="G126" s="19" t="s">
        <v>130</v>
      </c>
      <c r="H126" s="94" t="s">
        <v>967</v>
      </c>
      <c r="I126" s="144" t="s">
        <v>126</v>
      </c>
      <c r="J126" s="144" t="s">
        <v>238</v>
      </c>
      <c r="K126" s="139" t="s">
        <v>318</v>
      </c>
      <c r="L126" s="109"/>
      <c r="M126" s="43">
        <v>247.5</v>
      </c>
      <c r="N126" s="41" t="str">
        <f>"176,3418"</f>
        <v>176,3418</v>
      </c>
      <c r="O126" s="19" t="s">
        <v>51</v>
      </c>
    </row>
    <row r="127" ht="12.75">
      <c r="B127" s="470"/>
    </row>
    <row r="128" spans="2:14" ht="15.75">
      <c r="B128" s="469"/>
      <c r="C128" s="541" t="s">
        <v>304</v>
      </c>
      <c r="D128" s="541"/>
      <c r="E128" s="541"/>
      <c r="F128" s="541"/>
      <c r="G128" s="541"/>
      <c r="H128" s="541"/>
      <c r="I128" s="541"/>
      <c r="J128" s="541"/>
      <c r="K128" s="541"/>
      <c r="L128" s="541"/>
      <c r="M128" s="541"/>
      <c r="N128" s="541"/>
    </row>
    <row r="129" spans="1:15" ht="12.75">
      <c r="A129" s="29">
        <v>1</v>
      </c>
      <c r="B129" s="469">
        <v>12</v>
      </c>
      <c r="C129" s="17" t="s">
        <v>1503</v>
      </c>
      <c r="D129" s="17" t="s">
        <v>1504</v>
      </c>
      <c r="E129" s="17" t="s">
        <v>1803</v>
      </c>
      <c r="F129" s="17" t="str">
        <f>"0,5721"</f>
        <v>0,5721</v>
      </c>
      <c r="G129" s="17" t="s">
        <v>2104</v>
      </c>
      <c r="H129" s="17" t="s">
        <v>1642</v>
      </c>
      <c r="I129" s="138" t="s">
        <v>25</v>
      </c>
      <c r="J129" s="138" t="s">
        <v>89</v>
      </c>
      <c r="K129" s="138" t="s">
        <v>480</v>
      </c>
      <c r="L129" s="36"/>
      <c r="M129" s="44">
        <v>140</v>
      </c>
      <c r="N129" s="35" t="str">
        <f>"80,0940"</f>
        <v>80,0940</v>
      </c>
      <c r="O129" s="17" t="s">
        <v>1670</v>
      </c>
    </row>
    <row r="130" spans="1:15" ht="12.75">
      <c r="A130" s="29">
        <v>1</v>
      </c>
      <c r="B130" s="469">
        <v>12</v>
      </c>
      <c r="C130" s="18" t="s">
        <v>4625</v>
      </c>
      <c r="D130" s="18" t="s">
        <v>1505</v>
      </c>
      <c r="E130" s="18" t="s">
        <v>1726</v>
      </c>
      <c r="F130" s="18" t="str">
        <f>"0,5759"</f>
        <v>0,5759</v>
      </c>
      <c r="G130" s="18" t="s">
        <v>2104</v>
      </c>
      <c r="H130" s="18" t="s">
        <v>1642</v>
      </c>
      <c r="I130" s="140" t="s">
        <v>190</v>
      </c>
      <c r="J130" s="140" t="s">
        <v>245</v>
      </c>
      <c r="K130" s="47" t="s">
        <v>239</v>
      </c>
      <c r="L130" s="39"/>
      <c r="M130" s="40">
        <v>225</v>
      </c>
      <c r="N130" s="38" t="str">
        <f>"129,5775"</f>
        <v>129,5775</v>
      </c>
      <c r="O130" s="18" t="s">
        <v>1670</v>
      </c>
    </row>
    <row r="131" spans="1:15" ht="12.75">
      <c r="A131" s="29">
        <v>1</v>
      </c>
      <c r="B131" s="469">
        <v>24</v>
      </c>
      <c r="C131" s="18" t="s">
        <v>4626</v>
      </c>
      <c r="D131" s="18" t="s">
        <v>742</v>
      </c>
      <c r="E131" s="18" t="s">
        <v>1727</v>
      </c>
      <c r="F131" s="18" t="str">
        <f>"0,5786"</f>
        <v>0,5786</v>
      </c>
      <c r="G131" s="18" t="s">
        <v>14</v>
      </c>
      <c r="H131" s="18" t="s">
        <v>1642</v>
      </c>
      <c r="I131" s="146" t="s">
        <v>845</v>
      </c>
      <c r="J131" s="146" t="s">
        <v>846</v>
      </c>
      <c r="K131" s="146" t="s">
        <v>847</v>
      </c>
      <c r="L131" s="146" t="s">
        <v>901</v>
      </c>
      <c r="M131" s="40">
        <v>285</v>
      </c>
      <c r="N131" s="38" t="str">
        <f>"164,9010"</f>
        <v>164,9010</v>
      </c>
      <c r="O131" s="18" t="s">
        <v>744</v>
      </c>
    </row>
    <row r="132" spans="1:15" ht="12.75">
      <c r="A132" s="29">
        <v>2</v>
      </c>
      <c r="B132" s="469">
        <v>9</v>
      </c>
      <c r="C132" s="19" t="s">
        <v>4627</v>
      </c>
      <c r="D132" s="19" t="s">
        <v>730</v>
      </c>
      <c r="E132" s="19" t="s">
        <v>1679</v>
      </c>
      <c r="F132" s="94" t="str">
        <f>"0,5780"</f>
        <v>0,5780</v>
      </c>
      <c r="G132" s="19" t="s">
        <v>148</v>
      </c>
      <c r="H132" s="95" t="s">
        <v>149</v>
      </c>
      <c r="I132" s="139" t="s">
        <v>238</v>
      </c>
      <c r="J132" s="139" t="s">
        <v>319</v>
      </c>
      <c r="K132" s="139" t="s">
        <v>368</v>
      </c>
      <c r="L132" s="42"/>
      <c r="M132" s="43">
        <v>252.5</v>
      </c>
      <c r="N132" s="41" t="str">
        <f>"145,9450"</f>
        <v>145,9450</v>
      </c>
      <c r="O132" s="19" t="s">
        <v>1674</v>
      </c>
    </row>
    <row r="133" ht="12.75">
      <c r="B133" s="470"/>
    </row>
    <row r="134" spans="2:14" ht="15.75">
      <c r="B134" s="469"/>
      <c r="C134" s="541" t="s">
        <v>355</v>
      </c>
      <c r="D134" s="541"/>
      <c r="E134" s="541"/>
      <c r="F134" s="541"/>
      <c r="G134" s="541"/>
      <c r="H134" s="541"/>
      <c r="I134" s="541"/>
      <c r="J134" s="541"/>
      <c r="K134" s="541"/>
      <c r="L134" s="541"/>
      <c r="M134" s="541"/>
      <c r="N134" s="541"/>
    </row>
    <row r="135" spans="1:15" ht="12.75">
      <c r="A135" s="29">
        <v>1</v>
      </c>
      <c r="B135" s="469"/>
      <c r="C135" s="17" t="s">
        <v>4628</v>
      </c>
      <c r="D135" s="17" t="s">
        <v>1147</v>
      </c>
      <c r="E135" s="17" t="s">
        <v>1804</v>
      </c>
      <c r="F135" s="17" t="str">
        <f>"0,5668"</f>
        <v>0,5668</v>
      </c>
      <c r="G135" s="17" t="s">
        <v>31</v>
      </c>
      <c r="H135" s="83" t="s">
        <v>168</v>
      </c>
      <c r="I135" s="142" t="s">
        <v>836</v>
      </c>
      <c r="J135" s="138" t="s">
        <v>920</v>
      </c>
      <c r="K135" s="121" t="s">
        <v>899</v>
      </c>
      <c r="L135" s="101"/>
      <c r="M135" s="44">
        <v>340</v>
      </c>
      <c r="N135" s="35" t="str">
        <f>"192,7120"</f>
        <v>192,7120</v>
      </c>
      <c r="O135" s="17" t="s">
        <v>1843</v>
      </c>
    </row>
    <row r="136" spans="1:15" ht="12.75">
      <c r="A136" s="29">
        <v>2</v>
      </c>
      <c r="B136" s="469"/>
      <c r="C136" s="18" t="s">
        <v>4629</v>
      </c>
      <c r="D136" s="18" t="s">
        <v>755</v>
      </c>
      <c r="E136" s="18" t="s">
        <v>89</v>
      </c>
      <c r="F136" s="18" t="str">
        <f>"0,5656"</f>
        <v>0,5656</v>
      </c>
      <c r="G136" s="18" t="s">
        <v>31</v>
      </c>
      <c r="H136" s="92" t="s">
        <v>1642</v>
      </c>
      <c r="I136" s="143" t="s">
        <v>319</v>
      </c>
      <c r="J136" s="47" t="s">
        <v>341</v>
      </c>
      <c r="K136" s="103" t="s">
        <v>341</v>
      </c>
      <c r="L136" s="102"/>
      <c r="M136" s="40">
        <v>250</v>
      </c>
      <c r="N136" s="38" t="s">
        <v>2173</v>
      </c>
      <c r="O136" s="18" t="s">
        <v>51</v>
      </c>
    </row>
    <row r="137" spans="1:15" ht="12.75">
      <c r="A137" s="29">
        <v>1</v>
      </c>
      <c r="B137" s="469">
        <v>12</v>
      </c>
      <c r="C137" s="19" t="s">
        <v>4630</v>
      </c>
      <c r="D137" s="19" t="s">
        <v>759</v>
      </c>
      <c r="E137" s="19" t="s">
        <v>1805</v>
      </c>
      <c r="F137" s="19" t="str">
        <f>"0,5616"</f>
        <v>0,5616</v>
      </c>
      <c r="G137" s="19" t="s">
        <v>125</v>
      </c>
      <c r="H137" s="94" t="s">
        <v>761</v>
      </c>
      <c r="I137" s="144" t="s">
        <v>238</v>
      </c>
      <c r="J137" s="139" t="s">
        <v>319</v>
      </c>
      <c r="K137" s="112" t="s">
        <v>341</v>
      </c>
      <c r="L137" s="109"/>
      <c r="M137" s="43">
        <v>250</v>
      </c>
      <c r="N137" s="41" t="str">
        <f>"148,8240"</f>
        <v>148,8240</v>
      </c>
      <c r="O137" s="19" t="s">
        <v>51</v>
      </c>
    </row>
    <row r="138" ht="12.75">
      <c r="B138" s="468"/>
    </row>
    <row r="139" spans="3:4" ht="18">
      <c r="C139" s="16" t="s">
        <v>370</v>
      </c>
      <c r="D139" s="16"/>
    </row>
    <row r="140" spans="3:4" ht="18">
      <c r="C140" s="22" t="s">
        <v>2145</v>
      </c>
      <c r="D140" s="16"/>
    </row>
    <row r="141" spans="3:4" ht="13.5">
      <c r="C141" s="24"/>
      <c r="D141" s="25" t="s">
        <v>2102</v>
      </c>
    </row>
    <row r="142" spans="3:7" ht="13.5">
      <c r="C142" s="26" t="s">
        <v>373</v>
      </c>
      <c r="D142" s="26" t="s">
        <v>374</v>
      </c>
      <c r="E142" s="26" t="s">
        <v>375</v>
      </c>
      <c r="F142" s="26" t="s">
        <v>376</v>
      </c>
      <c r="G142" s="26" t="s">
        <v>377</v>
      </c>
    </row>
    <row r="143" spans="1:7" ht="12.75">
      <c r="A143" s="29">
        <v>1</v>
      </c>
      <c r="C143" s="90" t="s">
        <v>1440</v>
      </c>
      <c r="D143" s="49" t="s">
        <v>372</v>
      </c>
      <c r="E143" s="49" t="s">
        <v>764</v>
      </c>
      <c r="F143" s="49" t="s">
        <v>269</v>
      </c>
      <c r="G143" s="50" t="s">
        <v>1506</v>
      </c>
    </row>
    <row r="144" spans="1:7" ht="12.75">
      <c r="A144" s="29">
        <v>2</v>
      </c>
      <c r="C144" s="90" t="s">
        <v>1079</v>
      </c>
      <c r="D144" s="49" t="s">
        <v>372</v>
      </c>
      <c r="E144" s="49" t="s">
        <v>764</v>
      </c>
      <c r="F144" s="49" t="s">
        <v>153</v>
      </c>
      <c r="G144" s="50" t="s">
        <v>1507</v>
      </c>
    </row>
    <row r="145" spans="1:7" ht="12.75">
      <c r="A145" s="29">
        <v>3</v>
      </c>
      <c r="C145" s="90" t="s">
        <v>1442</v>
      </c>
      <c r="D145" s="49" t="s">
        <v>372</v>
      </c>
      <c r="E145" s="49" t="s">
        <v>764</v>
      </c>
      <c r="F145" s="49" t="s">
        <v>132</v>
      </c>
      <c r="G145" s="50" t="s">
        <v>1508</v>
      </c>
    </row>
    <row r="147" spans="3:4" ht="15.75">
      <c r="C147" s="22" t="s">
        <v>387</v>
      </c>
      <c r="D147" s="22"/>
    </row>
    <row r="148" spans="3:4" ht="13.5">
      <c r="C148" s="24"/>
      <c r="D148" s="25" t="s">
        <v>2102</v>
      </c>
    </row>
    <row r="149" spans="3:7" ht="13.5">
      <c r="C149" s="26" t="s">
        <v>373</v>
      </c>
      <c r="D149" s="26" t="s">
        <v>374</v>
      </c>
      <c r="E149" s="26" t="s">
        <v>375</v>
      </c>
      <c r="F149" s="26" t="s">
        <v>376</v>
      </c>
      <c r="G149" s="26" t="s">
        <v>377</v>
      </c>
    </row>
    <row r="150" spans="1:7" ht="12.75">
      <c r="A150" s="29">
        <v>1</v>
      </c>
      <c r="C150" s="90" t="s">
        <v>1474</v>
      </c>
      <c r="D150" s="49" t="s">
        <v>388</v>
      </c>
      <c r="E150" s="49" t="s">
        <v>404</v>
      </c>
      <c r="F150" s="49" t="s">
        <v>237</v>
      </c>
      <c r="G150" s="50" t="s">
        <v>1509</v>
      </c>
    </row>
    <row r="151" spans="1:7" ht="12.75">
      <c r="A151" s="29">
        <v>2</v>
      </c>
      <c r="C151" s="90" t="s">
        <v>624</v>
      </c>
      <c r="D151" s="49" t="s">
        <v>388</v>
      </c>
      <c r="E151" s="49" t="s">
        <v>378</v>
      </c>
      <c r="F151" s="49" t="s">
        <v>64</v>
      </c>
      <c r="G151" s="50" t="s">
        <v>1510</v>
      </c>
    </row>
    <row r="152" spans="1:7" ht="12.75">
      <c r="A152" s="29">
        <v>3</v>
      </c>
      <c r="C152" s="90" t="s">
        <v>1464</v>
      </c>
      <c r="D152" s="49" t="s">
        <v>388</v>
      </c>
      <c r="E152" s="49" t="s">
        <v>383</v>
      </c>
      <c r="F152" s="49" t="s">
        <v>350</v>
      </c>
      <c r="G152" s="50" t="s">
        <v>1511</v>
      </c>
    </row>
    <row r="153" spans="3:4" ht="13.5">
      <c r="C153" s="24"/>
      <c r="D153" s="25" t="s">
        <v>2102</v>
      </c>
    </row>
    <row r="154" spans="3:7" ht="13.5">
      <c r="C154" s="26" t="s">
        <v>373</v>
      </c>
      <c r="D154" s="181" t="s">
        <v>374</v>
      </c>
      <c r="E154" s="181" t="s">
        <v>375</v>
      </c>
      <c r="F154" s="181" t="s">
        <v>376</v>
      </c>
      <c r="G154" s="181" t="s">
        <v>377</v>
      </c>
    </row>
    <row r="155" spans="1:7" ht="12.75">
      <c r="A155" s="29">
        <v>1</v>
      </c>
      <c r="C155" s="90" t="s">
        <v>586</v>
      </c>
      <c r="D155" s="49" t="s">
        <v>395</v>
      </c>
      <c r="E155" s="49" t="s">
        <v>1646</v>
      </c>
      <c r="F155" s="49" t="s">
        <v>341</v>
      </c>
      <c r="G155" s="50" t="s">
        <v>1512</v>
      </c>
    </row>
    <row r="156" spans="1:7" ht="12.75">
      <c r="A156" s="29">
        <v>2</v>
      </c>
      <c r="C156" s="90" t="s">
        <v>1467</v>
      </c>
      <c r="D156" s="49" t="s">
        <v>395</v>
      </c>
      <c r="E156" s="49" t="s">
        <v>383</v>
      </c>
      <c r="F156" s="49" t="s">
        <v>252</v>
      </c>
      <c r="G156" s="50" t="s">
        <v>1513</v>
      </c>
    </row>
    <row r="157" spans="1:7" ht="12.75">
      <c r="A157" s="29">
        <v>3</v>
      </c>
      <c r="C157" s="90" t="s">
        <v>1478</v>
      </c>
      <c r="D157" s="49" t="s">
        <v>395</v>
      </c>
      <c r="E157" s="49" t="s">
        <v>1646</v>
      </c>
      <c r="F157" s="49" t="s">
        <v>237</v>
      </c>
      <c r="G157" s="50" t="s">
        <v>1514</v>
      </c>
    </row>
    <row r="158" spans="3:7" ht="13.5">
      <c r="C158" s="24"/>
      <c r="D158" s="118"/>
      <c r="E158" s="49"/>
      <c r="F158" s="49"/>
      <c r="G158" s="49"/>
    </row>
    <row r="159" spans="3:7" ht="13.5">
      <c r="C159" s="26" t="s">
        <v>373</v>
      </c>
      <c r="D159" s="181" t="s">
        <v>374</v>
      </c>
      <c r="E159" s="181" t="s">
        <v>375</v>
      </c>
      <c r="F159" s="181" t="s">
        <v>376</v>
      </c>
      <c r="G159" s="181" t="s">
        <v>377</v>
      </c>
    </row>
    <row r="160" spans="1:7" ht="12.75">
      <c r="A160" s="29">
        <v>1</v>
      </c>
      <c r="C160" s="90" t="s">
        <v>1391</v>
      </c>
      <c r="D160" s="49" t="s">
        <v>372</v>
      </c>
      <c r="E160" s="49" t="s">
        <v>392</v>
      </c>
      <c r="F160" s="49" t="s">
        <v>1394</v>
      </c>
      <c r="G160" s="50" t="s">
        <v>1425</v>
      </c>
    </row>
    <row r="161" spans="1:7" ht="12.75">
      <c r="A161" s="29">
        <v>2</v>
      </c>
      <c r="C161" s="90" t="s">
        <v>1146</v>
      </c>
      <c r="D161" s="49" t="s">
        <v>372</v>
      </c>
      <c r="E161" s="49" t="s">
        <v>400</v>
      </c>
      <c r="F161" s="49" t="s">
        <v>920</v>
      </c>
      <c r="G161" s="50" t="s">
        <v>1515</v>
      </c>
    </row>
    <row r="162" spans="1:7" ht="12.75">
      <c r="A162" s="29">
        <v>3</v>
      </c>
      <c r="C162" s="90" t="s">
        <v>1488</v>
      </c>
      <c r="D162" s="49" t="s">
        <v>372</v>
      </c>
      <c r="E162" s="49" t="s">
        <v>378</v>
      </c>
      <c r="F162" s="49" t="s">
        <v>860</v>
      </c>
      <c r="G162" s="50" t="s">
        <v>1516</v>
      </c>
    </row>
    <row r="163" spans="3:7" ht="13.5">
      <c r="C163" s="24"/>
      <c r="D163" s="118"/>
      <c r="E163" s="49"/>
      <c r="F163" s="49"/>
      <c r="G163" s="49"/>
    </row>
    <row r="164" spans="3:7" ht="13.5">
      <c r="C164" s="26" t="s">
        <v>373</v>
      </c>
      <c r="D164" s="181" t="s">
        <v>374</v>
      </c>
      <c r="E164" s="181" t="s">
        <v>375</v>
      </c>
      <c r="F164" s="181" t="s">
        <v>376</v>
      </c>
      <c r="G164" s="181" t="s">
        <v>377</v>
      </c>
    </row>
    <row r="165" spans="1:7" ht="12.75">
      <c r="A165" s="29">
        <v>1</v>
      </c>
      <c r="C165" s="90" t="s">
        <v>619</v>
      </c>
      <c r="D165" s="49" t="s">
        <v>411</v>
      </c>
      <c r="E165" s="49" t="s">
        <v>1646</v>
      </c>
      <c r="F165" s="49" t="s">
        <v>153</v>
      </c>
      <c r="G165" s="50" t="s">
        <v>1428</v>
      </c>
    </row>
    <row r="166" spans="1:7" ht="12.75">
      <c r="A166" s="29">
        <v>2</v>
      </c>
      <c r="C166" s="90" t="s">
        <v>532</v>
      </c>
      <c r="D166" s="49" t="s">
        <v>407</v>
      </c>
      <c r="E166" s="49" t="s">
        <v>2261</v>
      </c>
      <c r="F166" s="49" t="s">
        <v>63</v>
      </c>
      <c r="G166" s="50" t="s">
        <v>1517</v>
      </c>
    </row>
    <row r="167" spans="1:7" ht="12.75">
      <c r="A167" s="29">
        <v>3</v>
      </c>
      <c r="C167" s="90" t="s">
        <v>1136</v>
      </c>
      <c r="D167" s="49" t="s">
        <v>410</v>
      </c>
      <c r="E167" s="49" t="s">
        <v>392</v>
      </c>
      <c r="F167" s="49" t="s">
        <v>318</v>
      </c>
      <c r="G167" s="50" t="s">
        <v>1518</v>
      </c>
    </row>
  </sheetData>
  <sheetProtection/>
  <mergeCells count="32">
    <mergeCell ref="B3:B4"/>
    <mergeCell ref="C116:N116"/>
    <mergeCell ref="C128:N128"/>
    <mergeCell ref="C134:N134"/>
    <mergeCell ref="C50:N50"/>
    <mergeCell ref="C53:N53"/>
    <mergeCell ref="C57:N57"/>
    <mergeCell ref="C67:N67"/>
    <mergeCell ref="C76:N76"/>
    <mergeCell ref="C94:N94"/>
    <mergeCell ref="C26:N26"/>
    <mergeCell ref="C35:N35"/>
    <mergeCell ref="C40:N40"/>
    <mergeCell ref="C44:N44"/>
    <mergeCell ref="C47:N47"/>
    <mergeCell ref="C104:N104"/>
    <mergeCell ref="N3:N4"/>
    <mergeCell ref="O3:O4"/>
    <mergeCell ref="C5:N5"/>
    <mergeCell ref="C9:N9"/>
    <mergeCell ref="C13:N13"/>
    <mergeCell ref="C18:N18"/>
    <mergeCell ref="A3:A4"/>
    <mergeCell ref="C1:O2"/>
    <mergeCell ref="C3:C4"/>
    <mergeCell ref="D3:D4"/>
    <mergeCell ref="E3:E4"/>
    <mergeCell ref="F3:F4"/>
    <mergeCell ref="G3:G4"/>
    <mergeCell ref="H3:H4"/>
    <mergeCell ref="I3:L3"/>
    <mergeCell ref="M3:M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3">
      <selection activeCell="C34" sqref="C34"/>
    </sheetView>
  </sheetViews>
  <sheetFormatPr defaultColWidth="11.375" defaultRowHeight="12.75"/>
  <cols>
    <col min="1" max="1" width="7.25390625" style="0" customWidth="1"/>
    <col min="2" max="2" width="11.375" style="29" customWidth="1"/>
    <col min="3" max="3" width="27.25390625" style="0" customWidth="1"/>
    <col min="4" max="4" width="22.625" style="0" customWidth="1"/>
    <col min="5" max="5" width="11.375" style="0" customWidth="1"/>
    <col min="6" max="6" width="19.625" style="0" customWidth="1"/>
    <col min="7" max="7" width="27.625" style="0" customWidth="1"/>
    <col min="8" max="11" width="5.625" style="0" customWidth="1"/>
    <col min="12" max="12" width="11.375" style="0" customWidth="1"/>
    <col min="13" max="13" width="16.75390625" style="0" customWidth="1"/>
  </cols>
  <sheetData>
    <row r="1" spans="1:13" ht="57.75" customHeight="1">
      <c r="A1" s="82"/>
      <c r="B1" s="82"/>
      <c r="C1" s="509" t="s">
        <v>3152</v>
      </c>
      <c r="D1" s="509"/>
      <c r="E1" s="509"/>
      <c r="F1" s="509"/>
      <c r="G1" s="509"/>
      <c r="H1" s="509"/>
      <c r="I1" s="509"/>
      <c r="J1" s="509"/>
      <c r="K1" s="509"/>
      <c r="L1" s="509"/>
      <c r="M1" s="509"/>
    </row>
    <row r="2" spans="1:13" ht="30" thickBot="1">
      <c r="A2" s="82"/>
      <c r="B2" s="82"/>
      <c r="C2" s="509" t="s">
        <v>2322</v>
      </c>
      <c r="D2" s="509"/>
      <c r="E2" s="509"/>
      <c r="F2" s="509"/>
      <c r="G2" s="509"/>
      <c r="H2" s="509"/>
      <c r="I2" s="509"/>
      <c r="J2" s="509"/>
      <c r="K2" s="509"/>
      <c r="L2" s="509"/>
      <c r="M2" s="509"/>
    </row>
    <row r="3" spans="1:13" ht="24" customHeight="1">
      <c r="A3" s="512" t="s">
        <v>1627</v>
      </c>
      <c r="B3" s="516" t="s">
        <v>4516</v>
      </c>
      <c r="C3" s="514" t="s">
        <v>0</v>
      </c>
      <c r="D3" s="516" t="s">
        <v>2271</v>
      </c>
      <c r="E3" s="516" t="s">
        <v>1629</v>
      </c>
      <c r="F3" s="514" t="s">
        <v>7</v>
      </c>
      <c r="G3" s="514" t="s">
        <v>2273</v>
      </c>
      <c r="H3" s="514" t="s">
        <v>3</v>
      </c>
      <c r="I3" s="514"/>
      <c r="J3" s="514"/>
      <c r="K3" s="514"/>
      <c r="L3" s="518" t="s">
        <v>1672</v>
      </c>
      <c r="M3" s="510" t="s">
        <v>5</v>
      </c>
    </row>
    <row r="4" spans="1:13" ht="15" thickBot="1">
      <c r="A4" s="513"/>
      <c r="B4" s="517"/>
      <c r="C4" s="515"/>
      <c r="D4" s="517"/>
      <c r="E4" s="517"/>
      <c r="F4" s="515"/>
      <c r="G4" s="515"/>
      <c r="H4" s="457" t="s">
        <v>2208</v>
      </c>
      <c r="I4" s="457" t="s">
        <v>2209</v>
      </c>
      <c r="J4" s="457" t="s">
        <v>2210</v>
      </c>
      <c r="K4" s="457" t="s">
        <v>8</v>
      </c>
      <c r="L4" s="519"/>
      <c r="M4" s="511"/>
    </row>
    <row r="5" spans="1:13" ht="15.75">
      <c r="A5" s="29"/>
      <c r="B5" s="97"/>
      <c r="C5" s="508" t="s">
        <v>80</v>
      </c>
      <c r="D5" s="508"/>
      <c r="E5" s="508"/>
      <c r="F5" s="508"/>
      <c r="G5" s="508"/>
      <c r="H5" s="508"/>
      <c r="I5" s="508"/>
      <c r="J5" s="508"/>
      <c r="K5" s="508"/>
      <c r="L5" s="508"/>
      <c r="M5" s="15"/>
    </row>
    <row r="6" spans="1:13" ht="12.75">
      <c r="A6" s="29">
        <v>1</v>
      </c>
      <c r="B6" s="82" t="s">
        <v>3526</v>
      </c>
      <c r="C6" s="20" t="s">
        <v>2962</v>
      </c>
      <c r="D6" s="210" t="s">
        <v>2963</v>
      </c>
      <c r="E6" s="210" t="s">
        <v>1709</v>
      </c>
      <c r="F6" s="210" t="s">
        <v>2104</v>
      </c>
      <c r="G6" s="210" t="s">
        <v>1643</v>
      </c>
      <c r="H6" s="233" t="s">
        <v>2792</v>
      </c>
      <c r="I6" s="233" t="s">
        <v>3153</v>
      </c>
      <c r="J6" s="233" t="s">
        <v>3154</v>
      </c>
      <c r="K6" s="201"/>
      <c r="L6" s="211">
        <v>42</v>
      </c>
      <c r="M6" s="210" t="s">
        <v>1906</v>
      </c>
    </row>
    <row r="7" spans="1:13" ht="12.75">
      <c r="A7" s="29"/>
      <c r="B7" s="82"/>
      <c r="C7" s="15"/>
      <c r="D7" s="15"/>
      <c r="E7" s="15"/>
      <c r="F7" s="15"/>
      <c r="G7" s="15"/>
      <c r="H7" s="15"/>
      <c r="I7" s="15"/>
      <c r="J7" s="15"/>
      <c r="K7" s="15"/>
      <c r="L7" s="30"/>
      <c r="M7" s="15"/>
    </row>
    <row r="8" spans="1:13" ht="15.75">
      <c r="A8" s="29"/>
      <c r="B8" s="97"/>
      <c r="C8" s="508" t="s">
        <v>2977</v>
      </c>
      <c r="D8" s="508"/>
      <c r="E8" s="508"/>
      <c r="F8" s="508"/>
      <c r="G8" s="508"/>
      <c r="H8" s="508"/>
      <c r="I8" s="508"/>
      <c r="J8" s="508"/>
      <c r="K8" s="508"/>
      <c r="L8" s="508"/>
      <c r="M8" s="15"/>
    </row>
    <row r="9" spans="1:13" ht="12.75">
      <c r="A9" s="29">
        <v>1</v>
      </c>
      <c r="B9" s="82"/>
      <c r="C9" s="17" t="s">
        <v>2985</v>
      </c>
      <c r="D9" s="88" t="s">
        <v>2986</v>
      </c>
      <c r="E9" s="88" t="s">
        <v>2987</v>
      </c>
      <c r="F9" s="88" t="s">
        <v>31</v>
      </c>
      <c r="G9" s="88" t="s">
        <v>859</v>
      </c>
      <c r="H9" s="231" t="s">
        <v>3155</v>
      </c>
      <c r="I9" s="231" t="s">
        <v>3035</v>
      </c>
      <c r="J9" s="231" t="s">
        <v>2465</v>
      </c>
      <c r="K9" s="101"/>
      <c r="L9" s="167">
        <v>97</v>
      </c>
      <c r="M9" s="88" t="s">
        <v>51</v>
      </c>
    </row>
    <row r="10" spans="1:13" ht="12.75">
      <c r="A10" s="29">
        <v>2</v>
      </c>
      <c r="B10" s="82" t="s">
        <v>3493</v>
      </c>
      <c r="C10" s="18" t="s">
        <v>3127</v>
      </c>
      <c r="D10" s="93" t="s">
        <v>3128</v>
      </c>
      <c r="E10" s="93" t="s">
        <v>1960</v>
      </c>
      <c r="F10" s="93" t="s">
        <v>2293</v>
      </c>
      <c r="G10" s="93" t="s">
        <v>23</v>
      </c>
      <c r="H10" s="232" t="s">
        <v>2987</v>
      </c>
      <c r="I10" s="232" t="s">
        <v>3156</v>
      </c>
      <c r="J10" s="103" t="s">
        <v>3157</v>
      </c>
      <c r="K10" s="102"/>
      <c r="L10" s="212">
        <v>84.5</v>
      </c>
      <c r="M10" s="93" t="s">
        <v>51</v>
      </c>
    </row>
    <row r="11" spans="1:13" ht="12.75">
      <c r="A11" s="29">
        <v>3</v>
      </c>
      <c r="B11" s="82" t="s">
        <v>2215</v>
      </c>
      <c r="C11" s="19" t="s">
        <v>2988</v>
      </c>
      <c r="D11" s="95" t="s">
        <v>2989</v>
      </c>
      <c r="E11" s="95" t="s">
        <v>1783</v>
      </c>
      <c r="F11" s="95" t="s">
        <v>2865</v>
      </c>
      <c r="G11" s="95" t="s">
        <v>2866</v>
      </c>
      <c r="H11" s="234" t="s">
        <v>2381</v>
      </c>
      <c r="I11" s="234" t="s">
        <v>3156</v>
      </c>
      <c r="J11" s="112" t="s">
        <v>3157</v>
      </c>
      <c r="K11" s="109"/>
      <c r="L11" s="168">
        <v>84.5</v>
      </c>
      <c r="M11" s="95" t="s">
        <v>51</v>
      </c>
    </row>
    <row r="12" spans="1:13" ht="12.75">
      <c r="A12" s="29"/>
      <c r="B12" s="82"/>
      <c r="C12" s="15"/>
      <c r="D12" s="15"/>
      <c r="E12" s="15"/>
      <c r="F12" s="15"/>
      <c r="G12" s="15"/>
      <c r="H12" s="15"/>
      <c r="I12" s="15"/>
      <c r="J12" s="15"/>
      <c r="K12" s="15"/>
      <c r="L12" s="30"/>
      <c r="M12" s="15"/>
    </row>
    <row r="13" spans="1:13" ht="15.75">
      <c r="A13" s="29"/>
      <c r="B13" s="97"/>
      <c r="C13" s="508" t="s">
        <v>59</v>
      </c>
      <c r="D13" s="508"/>
      <c r="E13" s="508"/>
      <c r="F13" s="508"/>
      <c r="G13" s="508"/>
      <c r="H13" s="508"/>
      <c r="I13" s="508"/>
      <c r="J13" s="508"/>
      <c r="K13" s="508"/>
      <c r="L13" s="508"/>
      <c r="M13" s="15"/>
    </row>
    <row r="14" spans="1:13" ht="12.75">
      <c r="A14" s="29">
        <v>1</v>
      </c>
      <c r="B14" s="82" t="s">
        <v>3526</v>
      </c>
      <c r="C14" s="17" t="s">
        <v>2997</v>
      </c>
      <c r="D14" s="88" t="s">
        <v>2998</v>
      </c>
      <c r="E14" s="88" t="s">
        <v>32</v>
      </c>
      <c r="F14" s="88" t="s">
        <v>2865</v>
      </c>
      <c r="G14" s="88" t="s">
        <v>2866</v>
      </c>
      <c r="H14" s="231" t="s">
        <v>2381</v>
      </c>
      <c r="I14" s="236" t="s">
        <v>3035</v>
      </c>
      <c r="J14" s="231" t="s">
        <v>3158</v>
      </c>
      <c r="K14" s="101"/>
      <c r="L14" s="167">
        <v>94.5</v>
      </c>
      <c r="M14" s="88" t="s">
        <v>2869</v>
      </c>
    </row>
    <row r="15" spans="1:13" ht="12.75">
      <c r="A15" s="29">
        <v>1</v>
      </c>
      <c r="B15" s="82" t="s">
        <v>3526</v>
      </c>
      <c r="C15" s="18" t="s">
        <v>2290</v>
      </c>
      <c r="D15" s="93" t="s">
        <v>2291</v>
      </c>
      <c r="E15" s="93" t="s">
        <v>2660</v>
      </c>
      <c r="F15" s="93" t="s">
        <v>2293</v>
      </c>
      <c r="G15" s="93" t="s">
        <v>196</v>
      </c>
      <c r="H15" s="232" t="s">
        <v>2465</v>
      </c>
      <c r="I15" s="232" t="s">
        <v>1799</v>
      </c>
      <c r="J15" s="103" t="s">
        <v>3159</v>
      </c>
      <c r="K15" s="102"/>
      <c r="L15" s="212">
        <v>102</v>
      </c>
      <c r="M15" s="93" t="s">
        <v>51</v>
      </c>
    </row>
    <row r="16" spans="1:13" ht="12.75">
      <c r="A16" s="29">
        <v>2</v>
      </c>
      <c r="B16" s="82" t="s">
        <v>3493</v>
      </c>
      <c r="C16" s="18" t="s">
        <v>2997</v>
      </c>
      <c r="D16" s="93" t="s">
        <v>3002</v>
      </c>
      <c r="E16" s="93" t="s">
        <v>32</v>
      </c>
      <c r="F16" s="93" t="s">
        <v>2865</v>
      </c>
      <c r="G16" s="93" t="s">
        <v>2866</v>
      </c>
      <c r="H16" s="232" t="s">
        <v>2381</v>
      </c>
      <c r="I16" s="232" t="s">
        <v>3035</v>
      </c>
      <c r="J16" s="232" t="s">
        <v>3158</v>
      </c>
      <c r="K16" s="103" t="s">
        <v>1799</v>
      </c>
      <c r="L16" s="212">
        <v>94.5</v>
      </c>
      <c r="M16" s="93" t="s">
        <v>2869</v>
      </c>
    </row>
    <row r="17" spans="1:13" ht="12.75">
      <c r="A17" s="29">
        <v>1</v>
      </c>
      <c r="B17" s="82"/>
      <c r="C17" s="18" t="s">
        <v>2985</v>
      </c>
      <c r="D17" s="93" t="s">
        <v>3004</v>
      </c>
      <c r="E17" s="93" t="s">
        <v>2987</v>
      </c>
      <c r="F17" s="93" t="s">
        <v>31</v>
      </c>
      <c r="G17" s="93" t="s">
        <v>859</v>
      </c>
      <c r="H17" s="232" t="s">
        <v>3155</v>
      </c>
      <c r="I17" s="232" t="s">
        <v>3035</v>
      </c>
      <c r="J17" s="232" t="s">
        <v>2465</v>
      </c>
      <c r="K17" s="103" t="s">
        <v>1925</v>
      </c>
      <c r="L17" s="212">
        <v>97</v>
      </c>
      <c r="M17" s="93" t="s">
        <v>51</v>
      </c>
    </row>
    <row r="18" spans="1:13" ht="12.75">
      <c r="A18" s="29">
        <v>2</v>
      </c>
      <c r="B18" s="82"/>
      <c r="C18" s="18" t="s">
        <v>1010</v>
      </c>
      <c r="D18" s="93" t="s">
        <v>3129</v>
      </c>
      <c r="E18" s="93" t="s">
        <v>32</v>
      </c>
      <c r="F18" s="93" t="s">
        <v>31</v>
      </c>
      <c r="G18" s="93" t="s">
        <v>1642</v>
      </c>
      <c r="H18" s="232" t="s">
        <v>1959</v>
      </c>
      <c r="I18" s="232" t="s">
        <v>1692</v>
      </c>
      <c r="J18" s="103" t="s">
        <v>3157</v>
      </c>
      <c r="K18" s="102"/>
      <c r="L18" s="212">
        <v>82</v>
      </c>
      <c r="M18" s="93" t="s">
        <v>51</v>
      </c>
    </row>
    <row r="19" spans="1:13" ht="12.75">
      <c r="A19" s="29">
        <v>3</v>
      </c>
      <c r="B19" s="82" t="s">
        <v>2215</v>
      </c>
      <c r="C19" s="19" t="s">
        <v>3006</v>
      </c>
      <c r="D19" s="95" t="s">
        <v>3007</v>
      </c>
      <c r="E19" s="95" t="s">
        <v>1901</v>
      </c>
      <c r="F19" s="95" t="s">
        <v>125</v>
      </c>
      <c r="G19" s="95" t="s">
        <v>119</v>
      </c>
      <c r="H19" s="234" t="s">
        <v>3160</v>
      </c>
      <c r="I19" s="234" t="s">
        <v>1959</v>
      </c>
      <c r="J19" s="234" t="s">
        <v>1692</v>
      </c>
      <c r="K19" s="109"/>
      <c r="L19" s="168">
        <v>82</v>
      </c>
      <c r="M19" s="95" t="s">
        <v>3161</v>
      </c>
    </row>
    <row r="20" spans="1:13" ht="12.75">
      <c r="A20" s="29"/>
      <c r="B20" s="82"/>
      <c r="C20" s="15"/>
      <c r="D20" s="15"/>
      <c r="E20" s="15"/>
      <c r="F20" s="15"/>
      <c r="G20" s="15"/>
      <c r="H20" s="15"/>
      <c r="I20" s="15"/>
      <c r="J20" s="15"/>
      <c r="K20" s="15"/>
      <c r="L20" s="30"/>
      <c r="M20" s="15"/>
    </row>
    <row r="21" spans="1:13" ht="15.75">
      <c r="A21" s="29"/>
      <c r="B21" s="97"/>
      <c r="C21" s="508" t="s">
        <v>164</v>
      </c>
      <c r="D21" s="508"/>
      <c r="E21" s="508"/>
      <c r="F21" s="508"/>
      <c r="G21" s="508"/>
      <c r="H21" s="508"/>
      <c r="I21" s="508"/>
      <c r="J21" s="508"/>
      <c r="K21" s="508"/>
      <c r="L21" s="508"/>
      <c r="M21" s="15"/>
    </row>
    <row r="22" spans="1:13" ht="12.75">
      <c r="A22" s="29">
        <v>1</v>
      </c>
      <c r="B22" s="82"/>
      <c r="C22" s="17" t="s">
        <v>3090</v>
      </c>
      <c r="D22" s="88" t="s">
        <v>3091</v>
      </c>
      <c r="E22" s="88" t="s">
        <v>2565</v>
      </c>
      <c r="F22" s="88" t="s">
        <v>31</v>
      </c>
      <c r="G22" s="88" t="s">
        <v>2980</v>
      </c>
      <c r="H22" s="231" t="s">
        <v>2381</v>
      </c>
      <c r="I22" s="231" t="s">
        <v>3035</v>
      </c>
      <c r="J22" s="231" t="s">
        <v>1925</v>
      </c>
      <c r="K22" s="121" t="s">
        <v>3162</v>
      </c>
      <c r="L22" s="167">
        <v>99.5</v>
      </c>
      <c r="M22" s="88" t="s">
        <v>2983</v>
      </c>
    </row>
    <row r="23" spans="1:13" ht="12.75">
      <c r="A23" s="29">
        <v>2</v>
      </c>
      <c r="B23" s="82"/>
      <c r="C23" s="18" t="s">
        <v>3015</v>
      </c>
      <c r="D23" s="93" t="s">
        <v>3016</v>
      </c>
      <c r="E23" s="93" t="s">
        <v>3017</v>
      </c>
      <c r="F23" s="93" t="s">
        <v>31</v>
      </c>
      <c r="G23" s="93" t="s">
        <v>3018</v>
      </c>
      <c r="H23" s="232" t="s">
        <v>1692</v>
      </c>
      <c r="I23" s="232" t="s">
        <v>3157</v>
      </c>
      <c r="J23" s="103" t="s">
        <v>3159</v>
      </c>
      <c r="K23" s="103" t="s">
        <v>3159</v>
      </c>
      <c r="L23" s="212">
        <v>92</v>
      </c>
      <c r="M23" s="93" t="s">
        <v>51</v>
      </c>
    </row>
    <row r="24" spans="1:13" ht="12.75">
      <c r="A24" s="29">
        <v>3</v>
      </c>
      <c r="B24" s="82"/>
      <c r="C24" s="19" t="s">
        <v>3148</v>
      </c>
      <c r="D24" s="95" t="s">
        <v>3149</v>
      </c>
      <c r="E24" s="95" t="s">
        <v>2022</v>
      </c>
      <c r="F24" s="95" t="s">
        <v>31</v>
      </c>
      <c r="G24" s="95" t="s">
        <v>302</v>
      </c>
      <c r="H24" s="234" t="s">
        <v>1692</v>
      </c>
      <c r="I24" s="234" t="s">
        <v>3157</v>
      </c>
      <c r="J24" s="112" t="s">
        <v>1799</v>
      </c>
      <c r="K24" s="109"/>
      <c r="L24" s="168">
        <v>92</v>
      </c>
      <c r="M24" s="95" t="s">
        <v>3163</v>
      </c>
    </row>
    <row r="25" spans="1:13" ht="12.75">
      <c r="A25" s="29"/>
      <c r="B25" s="82"/>
      <c r="C25" s="15"/>
      <c r="D25" s="15"/>
      <c r="E25" s="15"/>
      <c r="F25" s="15"/>
      <c r="G25" s="15"/>
      <c r="H25" s="15"/>
      <c r="I25" s="15"/>
      <c r="J25" s="15"/>
      <c r="K25" s="15"/>
      <c r="L25" s="30"/>
      <c r="M25" s="15"/>
    </row>
    <row r="26" spans="1:13" ht="15.75">
      <c r="A26" s="29"/>
      <c r="B26" s="97"/>
      <c r="C26" s="508" t="s">
        <v>227</v>
      </c>
      <c r="D26" s="508"/>
      <c r="E26" s="508"/>
      <c r="F26" s="508"/>
      <c r="G26" s="508"/>
      <c r="H26" s="508"/>
      <c r="I26" s="508"/>
      <c r="J26" s="508"/>
      <c r="K26" s="508"/>
      <c r="L26" s="508"/>
      <c r="M26" s="15"/>
    </row>
    <row r="27" spans="1:13" ht="12.75">
      <c r="A27" s="29">
        <v>1</v>
      </c>
      <c r="B27" s="82" t="s">
        <v>3526</v>
      </c>
      <c r="C27" s="17" t="s">
        <v>2579</v>
      </c>
      <c r="D27" s="88" t="s">
        <v>485</v>
      </c>
      <c r="E27" s="88" t="s">
        <v>3023</v>
      </c>
      <c r="F27" s="88" t="s">
        <v>2348</v>
      </c>
      <c r="G27" s="88" t="s">
        <v>1642</v>
      </c>
      <c r="H27" s="231" t="s">
        <v>2465</v>
      </c>
      <c r="I27" s="231" t="s">
        <v>1799</v>
      </c>
      <c r="J27" s="231" t="s">
        <v>3159</v>
      </c>
      <c r="K27" s="121" t="s">
        <v>3164</v>
      </c>
      <c r="L27" s="167">
        <v>107</v>
      </c>
      <c r="M27" s="88" t="s">
        <v>51</v>
      </c>
    </row>
    <row r="28" spans="1:13" ht="12.75">
      <c r="A28" s="29">
        <v>2</v>
      </c>
      <c r="B28" s="82" t="s">
        <v>3493</v>
      </c>
      <c r="C28" s="19" t="s">
        <v>1051</v>
      </c>
      <c r="D28" s="95" t="s">
        <v>1052</v>
      </c>
      <c r="E28" s="95" t="s">
        <v>2025</v>
      </c>
      <c r="F28" s="95" t="s">
        <v>4077</v>
      </c>
      <c r="G28" s="95" t="s">
        <v>23</v>
      </c>
      <c r="H28" s="234" t="s">
        <v>3157</v>
      </c>
      <c r="I28" s="112" t="s">
        <v>1799</v>
      </c>
      <c r="J28" s="234" t="s">
        <v>1799</v>
      </c>
      <c r="K28" s="112" t="s">
        <v>3159</v>
      </c>
      <c r="L28" s="168">
        <v>102</v>
      </c>
      <c r="M28" s="95" t="s">
        <v>51</v>
      </c>
    </row>
    <row r="29" spans="1:13" ht="12.75">
      <c r="A29" s="29"/>
      <c r="B29" s="82"/>
      <c r="C29" s="15"/>
      <c r="D29" s="15"/>
      <c r="E29" s="15"/>
      <c r="F29" s="15"/>
      <c r="G29" s="15"/>
      <c r="H29" s="15"/>
      <c r="I29" s="15"/>
      <c r="J29" s="15"/>
      <c r="K29" s="15"/>
      <c r="L29" s="30"/>
      <c r="M29" s="15"/>
    </row>
    <row r="30" spans="1:13" ht="15.75">
      <c r="A30" s="29"/>
      <c r="B30" s="97"/>
      <c r="C30" s="508" t="s">
        <v>3036</v>
      </c>
      <c r="D30" s="508"/>
      <c r="E30" s="508"/>
      <c r="F30" s="508"/>
      <c r="G30" s="508"/>
      <c r="H30" s="508"/>
      <c r="I30" s="508"/>
      <c r="J30" s="508"/>
      <c r="K30" s="508"/>
      <c r="L30" s="508"/>
      <c r="M30" s="15"/>
    </row>
    <row r="31" spans="1:13" ht="12.75">
      <c r="A31" s="29">
        <v>1</v>
      </c>
      <c r="B31" s="82" t="s">
        <v>3526</v>
      </c>
      <c r="C31" s="20" t="s">
        <v>361</v>
      </c>
      <c r="D31" s="210" t="s">
        <v>1561</v>
      </c>
      <c r="E31" s="210" t="s">
        <v>3165</v>
      </c>
      <c r="F31" s="210" t="s">
        <v>301</v>
      </c>
      <c r="G31" s="210" t="s">
        <v>302</v>
      </c>
      <c r="H31" s="233" t="s">
        <v>1799</v>
      </c>
      <c r="I31" s="136" t="s">
        <v>1937</v>
      </c>
      <c r="J31" s="136" t="s">
        <v>1937</v>
      </c>
      <c r="K31" s="201"/>
      <c r="L31" s="211">
        <v>102</v>
      </c>
      <c r="M31" s="210" t="s">
        <v>51</v>
      </c>
    </row>
    <row r="32" spans="1:13" ht="12.75">
      <c r="A32" s="29"/>
      <c r="B32" s="82"/>
      <c r="C32" s="15"/>
      <c r="D32" s="15"/>
      <c r="E32" s="15"/>
      <c r="F32" s="15"/>
      <c r="G32" s="15"/>
      <c r="H32" s="15"/>
      <c r="I32" s="15"/>
      <c r="J32" s="15"/>
      <c r="K32" s="15"/>
      <c r="L32" s="30"/>
      <c r="M32" s="15"/>
    </row>
    <row r="33" spans="1:13" ht="15.75">
      <c r="A33" s="29"/>
      <c r="B33" s="97"/>
      <c r="C33" s="508" t="s">
        <v>499</v>
      </c>
      <c r="D33" s="508"/>
      <c r="E33" s="508"/>
      <c r="F33" s="508"/>
      <c r="G33" s="508"/>
      <c r="H33" s="508"/>
      <c r="I33" s="508"/>
      <c r="J33" s="508"/>
      <c r="K33" s="508"/>
      <c r="L33" s="508"/>
      <c r="M33" s="15"/>
    </row>
    <row r="34" spans="1:13" ht="12.75">
      <c r="A34" s="29">
        <v>1</v>
      </c>
      <c r="B34" s="82"/>
      <c r="C34" s="20" t="s">
        <v>3043</v>
      </c>
      <c r="D34" s="210" t="s">
        <v>3044</v>
      </c>
      <c r="E34" s="210" t="s">
        <v>3105</v>
      </c>
      <c r="F34" s="210" t="s">
        <v>31</v>
      </c>
      <c r="G34" s="210" t="s">
        <v>2980</v>
      </c>
      <c r="H34" s="233" t="s">
        <v>3157</v>
      </c>
      <c r="I34" s="233" t="s">
        <v>2465</v>
      </c>
      <c r="J34" s="233" t="s">
        <v>3162</v>
      </c>
      <c r="K34" s="136" t="s">
        <v>3159</v>
      </c>
      <c r="L34" s="211">
        <v>104.5</v>
      </c>
      <c r="M34" s="210" t="s">
        <v>51</v>
      </c>
    </row>
    <row r="35" spans="1:13" ht="12.75">
      <c r="A35" s="29"/>
      <c r="B35" s="82"/>
      <c r="C35" s="15"/>
      <c r="D35" s="15"/>
      <c r="E35" s="15"/>
      <c r="F35" s="15"/>
      <c r="G35" s="15"/>
      <c r="H35" s="15"/>
      <c r="I35" s="15"/>
      <c r="J35" s="15"/>
      <c r="K35" s="15"/>
      <c r="L35" s="30"/>
      <c r="M35" s="15"/>
    </row>
    <row r="36" spans="1:13" ht="12.75">
      <c r="A36" s="29"/>
      <c r="B36" s="50"/>
      <c r="C36" s="15"/>
      <c r="D36" s="15"/>
      <c r="E36" s="15"/>
      <c r="F36" s="15"/>
      <c r="G36" s="15"/>
      <c r="H36" s="15"/>
      <c r="I36" s="15"/>
      <c r="J36" s="15"/>
      <c r="K36" s="15"/>
      <c r="L36" s="30"/>
      <c r="M36" s="15"/>
    </row>
    <row r="37" spans="1:13" ht="18">
      <c r="A37" s="29"/>
      <c r="B37" s="50"/>
      <c r="C37" s="16" t="s">
        <v>370</v>
      </c>
      <c r="D37" s="16"/>
      <c r="E37" s="15"/>
      <c r="F37" s="15"/>
      <c r="G37" s="15"/>
      <c r="H37" s="15"/>
      <c r="I37" s="15"/>
      <c r="J37" s="15"/>
      <c r="K37" s="15"/>
      <c r="L37" s="30"/>
      <c r="M37" s="15"/>
    </row>
    <row r="38" spans="1:13" ht="18">
      <c r="A38" s="29"/>
      <c r="B38" s="50"/>
      <c r="C38" s="22" t="s">
        <v>387</v>
      </c>
      <c r="D38" s="16"/>
      <c r="E38" s="15"/>
      <c r="F38" s="15"/>
      <c r="G38" s="15"/>
      <c r="H38" s="15"/>
      <c r="I38" s="15"/>
      <c r="J38" s="15"/>
      <c r="K38" s="15"/>
      <c r="L38" s="30"/>
      <c r="M38" s="15"/>
    </row>
    <row r="39" spans="1:13" ht="13.5">
      <c r="A39" s="29"/>
      <c r="B39" s="50"/>
      <c r="C39" s="24"/>
      <c r="D39" s="25" t="s">
        <v>3166</v>
      </c>
      <c r="E39" s="15"/>
      <c r="F39" s="15"/>
      <c r="G39" s="15"/>
      <c r="H39" s="15"/>
      <c r="I39" s="15"/>
      <c r="J39" s="15"/>
      <c r="K39" s="15"/>
      <c r="L39" s="30"/>
      <c r="M39" s="15"/>
    </row>
    <row r="40" spans="1:13" ht="13.5">
      <c r="A40" s="29"/>
      <c r="C40" s="26" t="s">
        <v>373</v>
      </c>
      <c r="D40" s="181" t="s">
        <v>374</v>
      </c>
      <c r="E40" s="181" t="s">
        <v>375</v>
      </c>
      <c r="F40" s="181" t="s">
        <v>1672</v>
      </c>
      <c r="G40" s="15"/>
      <c r="H40" s="15"/>
      <c r="I40" s="15"/>
      <c r="J40" s="15"/>
      <c r="K40" s="15"/>
      <c r="L40" s="30"/>
      <c r="M40" s="15"/>
    </row>
    <row r="41" spans="1:13" ht="12.75">
      <c r="A41" s="29">
        <v>1</v>
      </c>
      <c r="C41" s="90" t="s">
        <v>2579</v>
      </c>
      <c r="D41" s="49" t="s">
        <v>372</v>
      </c>
      <c r="E41" s="50" t="s">
        <v>25</v>
      </c>
      <c r="F41" s="50" t="s">
        <v>3159</v>
      </c>
      <c r="G41" s="15"/>
      <c r="H41" s="15"/>
      <c r="I41" s="15"/>
      <c r="J41" s="15"/>
      <c r="K41" s="15"/>
      <c r="L41" s="30"/>
      <c r="M41" s="15"/>
    </row>
    <row r="42" spans="1:13" ht="12.75">
      <c r="A42" s="29">
        <v>2</v>
      </c>
      <c r="C42" s="90" t="s">
        <v>2290</v>
      </c>
      <c r="D42" s="49" t="s">
        <v>372</v>
      </c>
      <c r="E42" s="50" t="s">
        <v>1685</v>
      </c>
      <c r="F42" s="50" t="s">
        <v>1799</v>
      </c>
      <c r="G42" s="15"/>
      <c r="H42" s="15"/>
      <c r="I42" s="15"/>
      <c r="J42" s="15"/>
      <c r="K42" s="15"/>
      <c r="L42" s="30"/>
      <c r="M42" s="15"/>
    </row>
    <row r="43" spans="1:13" ht="12.75">
      <c r="A43" s="29">
        <v>3</v>
      </c>
      <c r="C43" s="90" t="s">
        <v>1051</v>
      </c>
      <c r="D43" s="49" t="s">
        <v>372</v>
      </c>
      <c r="E43" s="50" t="s">
        <v>1684</v>
      </c>
      <c r="F43" s="50" t="s">
        <v>1799</v>
      </c>
      <c r="G43" s="15"/>
      <c r="H43" s="15"/>
      <c r="I43" s="15"/>
      <c r="J43" s="15"/>
      <c r="K43" s="15"/>
      <c r="L43" s="30"/>
      <c r="M43" s="15"/>
    </row>
    <row r="44" spans="1:13" ht="12.75">
      <c r="A44" s="29"/>
      <c r="B44" s="50"/>
      <c r="C44" s="90"/>
      <c r="D44" s="49"/>
      <c r="E44" s="50"/>
      <c r="F44" s="50"/>
      <c r="G44" s="15"/>
      <c r="H44" s="15"/>
      <c r="I44" s="15"/>
      <c r="J44" s="15"/>
      <c r="K44" s="15"/>
      <c r="L44" s="30"/>
      <c r="M44" s="15"/>
    </row>
    <row r="45" spans="1:13" ht="13.5">
      <c r="A45" s="29"/>
      <c r="B45" s="50"/>
      <c r="C45" s="24"/>
      <c r="D45" s="15"/>
      <c r="E45" s="15"/>
      <c r="F45" s="15"/>
      <c r="G45" s="15"/>
      <c r="H45" s="15"/>
      <c r="I45" s="15"/>
      <c r="J45" s="15"/>
      <c r="K45" s="15"/>
      <c r="L45" s="30"/>
      <c r="M45" s="15"/>
    </row>
    <row r="46" spans="1:13" ht="13.5">
      <c r="A46" s="29"/>
      <c r="C46" s="26" t="s">
        <v>373</v>
      </c>
      <c r="D46" s="181" t="s">
        <v>374</v>
      </c>
      <c r="E46" s="181" t="s">
        <v>375</v>
      </c>
      <c r="F46" s="181" t="s">
        <v>1672</v>
      </c>
      <c r="G46" s="15"/>
      <c r="H46" s="15"/>
      <c r="I46" s="15"/>
      <c r="J46" s="15"/>
      <c r="K46" s="15"/>
      <c r="L46" s="30"/>
      <c r="M46" s="15"/>
    </row>
    <row r="47" spans="1:13" ht="12.75">
      <c r="A47" s="29">
        <v>1</v>
      </c>
      <c r="C47" s="90" t="s">
        <v>3043</v>
      </c>
      <c r="D47" s="49" t="s">
        <v>3280</v>
      </c>
      <c r="E47" s="50" t="s">
        <v>3281</v>
      </c>
      <c r="F47" s="50" t="s">
        <v>3162</v>
      </c>
      <c r="G47" s="15"/>
      <c r="H47" s="15"/>
      <c r="I47" s="15"/>
      <c r="J47" s="15"/>
      <c r="K47" s="15"/>
      <c r="L47" s="30"/>
      <c r="M47" s="15"/>
    </row>
    <row r="48" spans="1:13" ht="12.75">
      <c r="A48" s="29">
        <v>2</v>
      </c>
      <c r="C48" s="90" t="s">
        <v>2985</v>
      </c>
      <c r="D48" s="49" t="s">
        <v>3280</v>
      </c>
      <c r="E48" s="50" t="s">
        <v>1685</v>
      </c>
      <c r="F48" s="50" t="s">
        <v>2465</v>
      </c>
      <c r="G48" s="15"/>
      <c r="H48" s="15"/>
      <c r="I48" s="15"/>
      <c r="J48" s="15"/>
      <c r="K48" s="15"/>
      <c r="L48" s="30"/>
      <c r="M48" s="15"/>
    </row>
    <row r="49" spans="1:6" ht="12.75">
      <c r="A49" s="29">
        <v>3</v>
      </c>
      <c r="C49" s="90" t="s">
        <v>1010</v>
      </c>
      <c r="D49" s="49" t="s">
        <v>3280</v>
      </c>
      <c r="E49" s="50" t="s">
        <v>1685</v>
      </c>
      <c r="F49" s="50" t="s">
        <v>1692</v>
      </c>
    </row>
  </sheetData>
  <sheetProtection/>
  <mergeCells count="19">
    <mergeCell ref="C21:L21"/>
    <mergeCell ref="C26:L26"/>
    <mergeCell ref="C30:L30"/>
    <mergeCell ref="C33:L33"/>
    <mergeCell ref="H3:K3"/>
    <mergeCell ref="L3:L4"/>
    <mergeCell ref="M3:M4"/>
    <mergeCell ref="C5:L5"/>
    <mergeCell ref="C8:L8"/>
    <mergeCell ref="C13:L13"/>
    <mergeCell ref="C1:M1"/>
    <mergeCell ref="C2:M2"/>
    <mergeCell ref="A3:A4"/>
    <mergeCell ref="C3:C4"/>
    <mergeCell ref="D3:D4"/>
    <mergeCell ref="E3:E4"/>
    <mergeCell ref="F3:F4"/>
    <mergeCell ref="G3:G4"/>
    <mergeCell ref="B3:B4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22"/>
  <sheetViews>
    <sheetView workbookViewId="0" topLeftCell="A16">
      <selection activeCell="G53" sqref="G53"/>
    </sheetView>
  </sheetViews>
  <sheetFormatPr defaultColWidth="8.75390625" defaultRowHeight="12.75"/>
  <cols>
    <col min="1" max="1" width="9.125" style="29" customWidth="1"/>
    <col min="2" max="2" width="12.125" style="410" customWidth="1"/>
    <col min="3" max="3" width="26.00390625" style="15" bestFit="1" customWidth="1"/>
    <col min="4" max="4" width="27.125" style="15" bestFit="1" customWidth="1"/>
    <col min="5" max="5" width="10.625" style="15" bestFit="1" customWidth="1"/>
    <col min="6" max="6" width="8.375" style="15" bestFit="1" customWidth="1"/>
    <col min="7" max="7" width="27.125" style="15" customWidth="1"/>
    <col min="8" max="8" width="32.125" style="15" customWidth="1"/>
    <col min="9" max="12" width="5.625" style="15" bestFit="1" customWidth="1"/>
    <col min="13" max="13" width="11.875" style="30" customWidth="1"/>
    <col min="14" max="14" width="8.625" style="15" bestFit="1" customWidth="1"/>
    <col min="15" max="15" width="24.75390625" style="15" customWidth="1"/>
  </cols>
  <sheetData>
    <row r="1" spans="1:15" s="1" customFormat="1" ht="15" customHeight="1">
      <c r="A1" s="28"/>
      <c r="B1" s="443"/>
      <c r="C1" s="552" t="s">
        <v>2177</v>
      </c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</row>
    <row r="2" spans="1:15" s="1" customFormat="1" ht="86.25" customHeight="1" thickBot="1">
      <c r="A2" s="28"/>
      <c r="B2" s="44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</row>
    <row r="3" spans="1:15" s="2" customFormat="1" ht="12.75" customHeight="1">
      <c r="A3" s="546" t="s">
        <v>1627</v>
      </c>
      <c r="B3" s="516" t="s">
        <v>4516</v>
      </c>
      <c r="C3" s="542" t="s">
        <v>0</v>
      </c>
      <c r="D3" s="548" t="s">
        <v>1628</v>
      </c>
      <c r="E3" s="548" t="s">
        <v>1629</v>
      </c>
      <c r="F3" s="542" t="s">
        <v>9</v>
      </c>
      <c r="G3" s="542" t="s">
        <v>7</v>
      </c>
      <c r="H3" s="514" t="s">
        <v>3275</v>
      </c>
      <c r="I3" s="542" t="s">
        <v>3</v>
      </c>
      <c r="J3" s="542"/>
      <c r="K3" s="542"/>
      <c r="L3" s="542"/>
      <c r="M3" s="550" t="s">
        <v>1672</v>
      </c>
      <c r="N3" s="542" t="s">
        <v>6</v>
      </c>
      <c r="O3" s="544" t="s">
        <v>5</v>
      </c>
    </row>
    <row r="4" spans="1:15" s="2" customFormat="1" ht="21" customHeight="1" thickBot="1">
      <c r="A4" s="547"/>
      <c r="B4" s="517"/>
      <c r="C4" s="543"/>
      <c r="D4" s="543"/>
      <c r="E4" s="549"/>
      <c r="F4" s="543"/>
      <c r="G4" s="543"/>
      <c r="H4" s="515"/>
      <c r="I4" s="3">
        <v>1</v>
      </c>
      <c r="J4" s="3">
        <v>2</v>
      </c>
      <c r="K4" s="3">
        <v>3</v>
      </c>
      <c r="L4" s="3" t="s">
        <v>8</v>
      </c>
      <c r="M4" s="551"/>
      <c r="N4" s="543"/>
      <c r="O4" s="545"/>
    </row>
    <row r="5" spans="3:14" ht="15.75">
      <c r="C5" s="526" t="s">
        <v>412</v>
      </c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</row>
    <row r="6" spans="1:15" ht="12.75">
      <c r="A6" s="29">
        <v>1</v>
      </c>
      <c r="B6" s="410">
        <v>12</v>
      </c>
      <c r="C6" s="20" t="s">
        <v>1348</v>
      </c>
      <c r="D6" s="20" t="s">
        <v>1349</v>
      </c>
      <c r="E6" s="20" t="s">
        <v>1847</v>
      </c>
      <c r="F6" s="20" t="str">
        <f>"1,3511"</f>
        <v>1,3511</v>
      </c>
      <c r="G6" s="20" t="s">
        <v>2104</v>
      </c>
      <c r="H6" s="20" t="s">
        <v>1844</v>
      </c>
      <c r="I6" s="119" t="s">
        <v>432</v>
      </c>
      <c r="J6" s="119" t="s">
        <v>93</v>
      </c>
      <c r="K6" s="31"/>
      <c r="L6" s="31"/>
      <c r="M6" s="34">
        <v>55</v>
      </c>
      <c r="N6" s="33" t="str">
        <f>"74,3105"</f>
        <v>74,3105</v>
      </c>
      <c r="O6" s="20" t="s">
        <v>1876</v>
      </c>
    </row>
    <row r="8" spans="3:14" ht="15.75">
      <c r="C8" s="541" t="s">
        <v>66</v>
      </c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</row>
    <row r="9" spans="1:15" ht="12.75">
      <c r="A9" s="29">
        <v>1</v>
      </c>
      <c r="B9" s="410">
        <v>12</v>
      </c>
      <c r="C9" s="20" t="s">
        <v>4225</v>
      </c>
      <c r="D9" s="20" t="s">
        <v>1350</v>
      </c>
      <c r="E9" s="20" t="s">
        <v>1848</v>
      </c>
      <c r="F9" s="20" t="str">
        <f>"1,3043"</f>
        <v>1,3043</v>
      </c>
      <c r="G9" s="20" t="s">
        <v>2104</v>
      </c>
      <c r="H9" s="20" t="s">
        <v>1643</v>
      </c>
      <c r="I9" s="117" t="s">
        <v>33</v>
      </c>
      <c r="J9" s="45" t="s">
        <v>452</v>
      </c>
      <c r="K9" s="117" t="s">
        <v>25</v>
      </c>
      <c r="L9" s="31"/>
      <c r="M9" s="34">
        <v>110</v>
      </c>
      <c r="N9" s="33" t="str">
        <f>"143,4730"</f>
        <v>143,4730</v>
      </c>
      <c r="O9" s="20" t="s">
        <v>1670</v>
      </c>
    </row>
    <row r="11" spans="3:14" ht="15.75">
      <c r="C11" s="541" t="s">
        <v>10</v>
      </c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</row>
    <row r="12" spans="1:15" ht="12.75">
      <c r="A12" s="29">
        <v>1</v>
      </c>
      <c r="B12" s="410">
        <v>12</v>
      </c>
      <c r="C12" s="17" t="s">
        <v>4200</v>
      </c>
      <c r="D12" s="88" t="s">
        <v>1352</v>
      </c>
      <c r="E12" s="17" t="s">
        <v>1849</v>
      </c>
      <c r="F12" s="17" t="str">
        <f>"1,2071"</f>
        <v>1,2071</v>
      </c>
      <c r="G12" s="17" t="s">
        <v>2104</v>
      </c>
      <c r="H12" s="17" t="s">
        <v>1182</v>
      </c>
      <c r="I12" s="114" t="s">
        <v>88</v>
      </c>
      <c r="J12" s="114" t="s">
        <v>101</v>
      </c>
      <c r="K12" s="46" t="s">
        <v>136</v>
      </c>
      <c r="L12" s="36"/>
      <c r="M12" s="44">
        <v>132.5</v>
      </c>
      <c r="N12" s="35" t="str">
        <f>"159,9408"</f>
        <v>159,9408</v>
      </c>
      <c r="O12" s="17" t="s">
        <v>1670</v>
      </c>
    </row>
    <row r="13" spans="1:15" ht="12.75">
      <c r="A13" s="29">
        <v>1</v>
      </c>
      <c r="B13" s="410">
        <v>12</v>
      </c>
      <c r="C13" s="18" t="s">
        <v>4200</v>
      </c>
      <c r="D13" s="93" t="s">
        <v>1353</v>
      </c>
      <c r="E13" s="18" t="s">
        <v>1849</v>
      </c>
      <c r="F13" s="18" t="str">
        <f>"1,2071"</f>
        <v>1,2071</v>
      </c>
      <c r="G13" s="18" t="s">
        <v>2104</v>
      </c>
      <c r="H13" s="18" t="s">
        <v>1182</v>
      </c>
      <c r="I13" s="115" t="s">
        <v>88</v>
      </c>
      <c r="J13" s="115" t="s">
        <v>101</v>
      </c>
      <c r="K13" s="47" t="s">
        <v>136</v>
      </c>
      <c r="L13" s="39"/>
      <c r="M13" s="40">
        <v>132.5</v>
      </c>
      <c r="N13" s="38" t="str">
        <f>"159,9408"</f>
        <v>159,9408</v>
      </c>
      <c r="O13" s="18" t="s">
        <v>1670</v>
      </c>
    </row>
    <row r="14" spans="1:15" ht="12.75">
      <c r="A14" s="29">
        <v>2</v>
      </c>
      <c r="B14" s="410">
        <v>9</v>
      </c>
      <c r="C14" s="18" t="s">
        <v>4226</v>
      </c>
      <c r="D14" s="93" t="s">
        <v>1355</v>
      </c>
      <c r="E14" s="18" t="s">
        <v>1850</v>
      </c>
      <c r="F14" s="18" t="str">
        <f>"1,1832"</f>
        <v>1,1832</v>
      </c>
      <c r="G14" s="18" t="s">
        <v>2104</v>
      </c>
      <c r="H14" s="18" t="s">
        <v>1297</v>
      </c>
      <c r="I14" s="115" t="s">
        <v>139</v>
      </c>
      <c r="J14" s="47" t="s">
        <v>101</v>
      </c>
      <c r="K14" s="47" t="s">
        <v>551</v>
      </c>
      <c r="L14" s="39"/>
      <c r="M14" s="40">
        <v>122.5</v>
      </c>
      <c r="N14" s="38" t="str">
        <f>"144,9420"</f>
        <v>144,9420</v>
      </c>
      <c r="O14" s="18" t="s">
        <v>1877</v>
      </c>
    </row>
    <row r="15" spans="1:15" ht="12.75">
      <c r="A15" s="29">
        <v>1</v>
      </c>
      <c r="B15" s="410">
        <v>12</v>
      </c>
      <c r="C15" s="19" t="s">
        <v>11</v>
      </c>
      <c r="D15" s="95" t="s">
        <v>12</v>
      </c>
      <c r="E15" s="19" t="s">
        <v>1744</v>
      </c>
      <c r="F15" s="19" t="str">
        <f>"1,1950"</f>
        <v>1,1950</v>
      </c>
      <c r="G15" s="19" t="s">
        <v>14</v>
      </c>
      <c r="H15" s="19" t="s">
        <v>1642</v>
      </c>
      <c r="I15" s="116" t="s">
        <v>416</v>
      </c>
      <c r="J15" s="116" t="s">
        <v>666</v>
      </c>
      <c r="K15" s="48" t="s">
        <v>474</v>
      </c>
      <c r="L15" s="42"/>
      <c r="M15" s="43">
        <v>77.5</v>
      </c>
      <c r="N15" s="41" t="str">
        <f>"103,1703"</f>
        <v>103,1703</v>
      </c>
      <c r="O15" s="19" t="s">
        <v>1878</v>
      </c>
    </row>
    <row r="17" spans="3:14" ht="15.75">
      <c r="C17" s="541" t="s">
        <v>80</v>
      </c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</row>
    <row r="18" spans="1:15" ht="12.75">
      <c r="A18" s="29">
        <v>1</v>
      </c>
      <c r="B18" s="410">
        <v>12</v>
      </c>
      <c r="C18" s="17" t="s">
        <v>4227</v>
      </c>
      <c r="D18" s="17" t="s">
        <v>1357</v>
      </c>
      <c r="E18" s="17" t="s">
        <v>1708</v>
      </c>
      <c r="F18" s="17" t="str">
        <f>"1,1447"</f>
        <v>1,1447</v>
      </c>
      <c r="G18" s="17" t="s">
        <v>14</v>
      </c>
      <c r="H18" s="17" t="s">
        <v>1642</v>
      </c>
      <c r="I18" s="114" t="s">
        <v>447</v>
      </c>
      <c r="J18" s="114" t="s">
        <v>598</v>
      </c>
      <c r="K18" s="46" t="s">
        <v>131</v>
      </c>
      <c r="L18" s="36"/>
      <c r="M18" s="44">
        <v>137.5</v>
      </c>
      <c r="N18" s="35" t="str">
        <f>"157,3963"</f>
        <v>157,3963</v>
      </c>
      <c r="O18" s="17" t="s">
        <v>1664</v>
      </c>
    </row>
    <row r="19" spans="3:15" ht="12.75">
      <c r="C19" s="19" t="s">
        <v>1358</v>
      </c>
      <c r="D19" s="19" t="s">
        <v>1226</v>
      </c>
      <c r="E19" s="19" t="s">
        <v>1747</v>
      </c>
      <c r="F19" s="19" t="str">
        <f>"1,1251"</f>
        <v>1,1251</v>
      </c>
      <c r="G19" s="19" t="s">
        <v>14</v>
      </c>
      <c r="H19" s="19" t="s">
        <v>1642</v>
      </c>
      <c r="I19" s="48" t="s">
        <v>49</v>
      </c>
      <c r="J19" s="42"/>
      <c r="K19" s="42"/>
      <c r="L19" s="42"/>
      <c r="M19" s="51">
        <v>0</v>
      </c>
      <c r="N19" s="41" t="s">
        <v>1639</v>
      </c>
      <c r="O19" s="19" t="s">
        <v>1359</v>
      </c>
    </row>
    <row r="21" spans="3:14" ht="15.75">
      <c r="C21" s="541" t="s">
        <v>18</v>
      </c>
      <c r="D21" s="541"/>
      <c r="E21" s="541"/>
      <c r="F21" s="541"/>
      <c r="G21" s="541"/>
      <c r="H21" s="541"/>
      <c r="I21" s="541"/>
      <c r="J21" s="541"/>
      <c r="K21" s="541"/>
      <c r="L21" s="541"/>
      <c r="M21" s="541"/>
      <c r="N21" s="541"/>
    </row>
    <row r="22" spans="1:15" ht="12.75">
      <c r="A22" s="29">
        <v>1</v>
      </c>
      <c r="B22" s="410">
        <v>12</v>
      </c>
      <c r="C22" s="17" t="s">
        <v>4228</v>
      </c>
      <c r="D22" s="17" t="s">
        <v>1361</v>
      </c>
      <c r="E22" s="17" t="s">
        <v>1851</v>
      </c>
      <c r="F22" s="17" t="str">
        <f>"1,0714"</f>
        <v>1,0714</v>
      </c>
      <c r="G22" s="17" t="s">
        <v>2104</v>
      </c>
      <c r="H22" s="17" t="s">
        <v>1845</v>
      </c>
      <c r="I22" s="114" t="s">
        <v>49</v>
      </c>
      <c r="J22" s="114" t="s">
        <v>303</v>
      </c>
      <c r="K22" s="114" t="s">
        <v>471</v>
      </c>
      <c r="L22" s="36"/>
      <c r="M22" s="44">
        <v>105</v>
      </c>
      <c r="N22" s="35" t="str">
        <f>"112,4970"</f>
        <v>112,4970</v>
      </c>
      <c r="O22" s="17" t="s">
        <v>1876</v>
      </c>
    </row>
    <row r="23" spans="3:15" ht="12.75">
      <c r="C23" s="19" t="s">
        <v>1362</v>
      </c>
      <c r="D23" s="19" t="s">
        <v>1363</v>
      </c>
      <c r="E23" s="19" t="s">
        <v>1852</v>
      </c>
      <c r="F23" s="19" t="str">
        <f>"1,0688"</f>
        <v>1,0688</v>
      </c>
      <c r="G23" s="19" t="s">
        <v>2104</v>
      </c>
      <c r="H23" s="19" t="s">
        <v>1845</v>
      </c>
      <c r="I23" s="48" t="s">
        <v>153</v>
      </c>
      <c r="J23" s="48" t="s">
        <v>153</v>
      </c>
      <c r="K23" s="48" t="s">
        <v>153</v>
      </c>
      <c r="L23" s="42"/>
      <c r="M23" s="51">
        <v>0</v>
      </c>
      <c r="N23" s="41" t="s">
        <v>1639</v>
      </c>
      <c r="O23" s="19" t="s">
        <v>1670</v>
      </c>
    </row>
    <row r="25" spans="3:14" ht="15.75">
      <c r="C25" s="541" t="s">
        <v>42</v>
      </c>
      <c r="D25" s="541"/>
      <c r="E25" s="541"/>
      <c r="F25" s="541"/>
      <c r="G25" s="541"/>
      <c r="H25" s="541"/>
      <c r="I25" s="541"/>
      <c r="J25" s="541"/>
      <c r="K25" s="541"/>
      <c r="L25" s="541"/>
      <c r="M25" s="541"/>
      <c r="N25" s="541"/>
    </row>
    <row r="26" spans="1:15" ht="12.75">
      <c r="A26" s="29">
        <v>1</v>
      </c>
      <c r="B26" s="410">
        <v>12</v>
      </c>
      <c r="C26" s="20" t="s">
        <v>4229</v>
      </c>
      <c r="D26" s="20" t="s">
        <v>1364</v>
      </c>
      <c r="E26" s="20" t="s">
        <v>1853</v>
      </c>
      <c r="F26" s="20" t="str">
        <f>"1,0079"</f>
        <v>1,0079</v>
      </c>
      <c r="G26" s="20" t="s">
        <v>2104</v>
      </c>
      <c r="H26" s="20" t="s">
        <v>1642</v>
      </c>
      <c r="I26" s="117" t="s">
        <v>49</v>
      </c>
      <c r="J26" s="117" t="s">
        <v>303</v>
      </c>
      <c r="K26" s="117" t="s">
        <v>25</v>
      </c>
      <c r="L26" s="31"/>
      <c r="M26" s="34">
        <v>110</v>
      </c>
      <c r="N26" s="33" t="str">
        <f>"110,8690"</f>
        <v>110,8690</v>
      </c>
      <c r="O26" s="20" t="s">
        <v>1670</v>
      </c>
    </row>
    <row r="28" spans="3:14" ht="15.75">
      <c r="C28" s="541" t="s">
        <v>59</v>
      </c>
      <c r="D28" s="541"/>
      <c r="E28" s="541"/>
      <c r="F28" s="541"/>
      <c r="G28" s="541"/>
      <c r="H28" s="541"/>
      <c r="I28" s="541"/>
      <c r="J28" s="541"/>
      <c r="K28" s="541"/>
      <c r="L28" s="541"/>
      <c r="M28" s="541"/>
      <c r="N28" s="541"/>
    </row>
    <row r="29" spans="1:15" ht="12.75">
      <c r="A29" s="29">
        <v>1</v>
      </c>
      <c r="B29" s="410">
        <v>24</v>
      </c>
      <c r="C29" s="20" t="s">
        <v>4230</v>
      </c>
      <c r="D29" s="20" t="s">
        <v>61</v>
      </c>
      <c r="E29" s="20" t="s">
        <v>1854</v>
      </c>
      <c r="F29" s="20" t="str">
        <f>"0,8797"</f>
        <v>0,8797</v>
      </c>
      <c r="G29" s="20" t="s">
        <v>54</v>
      </c>
      <c r="H29" s="20" t="s">
        <v>1846</v>
      </c>
      <c r="I29" s="45" t="s">
        <v>127</v>
      </c>
      <c r="J29" s="117" t="s">
        <v>127</v>
      </c>
      <c r="K29" s="117" t="s">
        <v>108</v>
      </c>
      <c r="L29" s="31"/>
      <c r="M29" s="34">
        <v>190</v>
      </c>
      <c r="N29" s="33" t="str">
        <f>"167,1430"</f>
        <v>167,1430</v>
      </c>
      <c r="O29" s="20" t="s">
        <v>2180</v>
      </c>
    </row>
    <row r="31" spans="3:14" ht="15.75">
      <c r="C31" s="541" t="s">
        <v>499</v>
      </c>
      <c r="D31" s="541"/>
      <c r="E31" s="541"/>
      <c r="F31" s="541"/>
      <c r="G31" s="541"/>
      <c r="H31" s="541"/>
      <c r="I31" s="541"/>
      <c r="J31" s="541"/>
      <c r="K31" s="541"/>
      <c r="L31" s="541"/>
      <c r="M31" s="541"/>
      <c r="N31" s="541"/>
    </row>
    <row r="32" spans="1:15" ht="12.75">
      <c r="A32" s="29">
        <v>1</v>
      </c>
      <c r="B32" s="410">
        <v>12</v>
      </c>
      <c r="C32" s="20" t="s">
        <v>4231</v>
      </c>
      <c r="D32" s="20" t="s">
        <v>1365</v>
      </c>
      <c r="E32" s="20" t="s">
        <v>1855</v>
      </c>
      <c r="F32" s="20" t="str">
        <f>"0,8142"</f>
        <v>0,8142</v>
      </c>
      <c r="G32" s="20" t="s">
        <v>14</v>
      </c>
      <c r="H32" s="20" t="s">
        <v>1642</v>
      </c>
      <c r="I32" s="117" t="s">
        <v>89</v>
      </c>
      <c r="J32" s="117" t="s">
        <v>551</v>
      </c>
      <c r="K32" s="117" t="s">
        <v>480</v>
      </c>
      <c r="L32" s="31"/>
      <c r="M32" s="34">
        <v>140</v>
      </c>
      <c r="N32" s="33" t="str">
        <f>"113,9880"</f>
        <v>113,9880</v>
      </c>
      <c r="O32" s="20" t="s">
        <v>1665</v>
      </c>
    </row>
    <row r="34" spans="3:14" ht="15.75">
      <c r="C34" s="541" t="s">
        <v>18</v>
      </c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</row>
    <row r="35" spans="1:15" ht="12.75">
      <c r="A35" s="29">
        <v>1</v>
      </c>
      <c r="C35" s="17" t="s">
        <v>4232</v>
      </c>
      <c r="D35" s="17" t="s">
        <v>1366</v>
      </c>
      <c r="E35" s="17" t="s">
        <v>1748</v>
      </c>
      <c r="F35" s="17" t="str">
        <f>"0,7993"</f>
        <v>0,7993</v>
      </c>
      <c r="G35" s="17" t="s">
        <v>31</v>
      </c>
      <c r="H35" s="17" t="s">
        <v>1845</v>
      </c>
      <c r="I35" s="114" t="s">
        <v>153</v>
      </c>
      <c r="J35" s="114" t="s">
        <v>127</v>
      </c>
      <c r="K35" s="114" t="s">
        <v>635</v>
      </c>
      <c r="L35" s="36"/>
      <c r="M35" s="44">
        <v>187.5</v>
      </c>
      <c r="N35" s="35" t="str">
        <f>"149,8688"</f>
        <v>149,8688</v>
      </c>
      <c r="O35" s="17" t="s">
        <v>1879</v>
      </c>
    </row>
    <row r="36" spans="1:15" ht="12.75">
      <c r="A36" s="29">
        <v>1</v>
      </c>
      <c r="C36" s="19" t="s">
        <v>4233</v>
      </c>
      <c r="D36" s="19" t="s">
        <v>1368</v>
      </c>
      <c r="E36" s="19" t="s">
        <v>1851</v>
      </c>
      <c r="F36" s="19" t="str">
        <f>"0,8144"</f>
        <v>0,8144</v>
      </c>
      <c r="G36" s="19" t="s">
        <v>31</v>
      </c>
      <c r="H36" s="19" t="s">
        <v>509</v>
      </c>
      <c r="I36" s="116" t="s">
        <v>190</v>
      </c>
      <c r="J36" s="116" t="s">
        <v>191</v>
      </c>
      <c r="K36" s="116" t="s">
        <v>253</v>
      </c>
      <c r="L36" s="42"/>
      <c r="M36" s="43">
        <v>222.5</v>
      </c>
      <c r="N36" s="41" t="str">
        <f>"211,6463"</f>
        <v>211,6463</v>
      </c>
      <c r="O36" s="19" t="s">
        <v>51</v>
      </c>
    </row>
    <row r="38" spans="3:14" ht="15.75">
      <c r="C38" s="541" t="s">
        <v>42</v>
      </c>
      <c r="D38" s="541"/>
      <c r="E38" s="541"/>
      <c r="F38" s="541"/>
      <c r="G38" s="541"/>
      <c r="H38" s="541"/>
      <c r="I38" s="541"/>
      <c r="J38" s="541"/>
      <c r="K38" s="541"/>
      <c r="L38" s="541"/>
      <c r="M38" s="541"/>
      <c r="N38" s="541"/>
    </row>
    <row r="39" spans="1:15" ht="12.75">
      <c r="A39" s="29">
        <v>1</v>
      </c>
      <c r="C39" s="17" t="s">
        <v>4234</v>
      </c>
      <c r="D39" s="17" t="s">
        <v>1369</v>
      </c>
      <c r="E39" s="17" t="s">
        <v>1856</v>
      </c>
      <c r="F39" s="17" t="str">
        <f>"0,7647"</f>
        <v>0,7647</v>
      </c>
      <c r="G39" s="17" t="s">
        <v>31</v>
      </c>
      <c r="H39" s="17" t="s">
        <v>1642</v>
      </c>
      <c r="I39" s="114" t="s">
        <v>126</v>
      </c>
      <c r="J39" s="114" t="s">
        <v>175</v>
      </c>
      <c r="K39" s="114" t="s">
        <v>176</v>
      </c>
      <c r="L39" s="36"/>
      <c r="M39" s="44">
        <v>192.5</v>
      </c>
      <c r="N39" s="35" t="str">
        <f>"147,2047"</f>
        <v>147,2047</v>
      </c>
      <c r="O39" s="17" t="s">
        <v>1880</v>
      </c>
    </row>
    <row r="40" spans="1:15" ht="12.75">
      <c r="A40" s="29">
        <v>1</v>
      </c>
      <c r="C40" s="19" t="s">
        <v>4235</v>
      </c>
      <c r="D40" s="19" t="s">
        <v>111</v>
      </c>
      <c r="E40" s="19" t="s">
        <v>1857</v>
      </c>
      <c r="F40" s="19" t="str">
        <f>"0,7367"</f>
        <v>0,7367</v>
      </c>
      <c r="G40" s="19" t="s">
        <v>31</v>
      </c>
      <c r="H40" s="19" t="s">
        <v>1642</v>
      </c>
      <c r="I40" s="48" t="s">
        <v>132</v>
      </c>
      <c r="J40" s="116" t="s">
        <v>132</v>
      </c>
      <c r="K40" s="116" t="s">
        <v>127</v>
      </c>
      <c r="L40" s="42"/>
      <c r="M40" s="43">
        <v>180</v>
      </c>
      <c r="N40" s="41" t="str">
        <f>"132,6060"</f>
        <v>132,6060</v>
      </c>
      <c r="O40" s="19" t="s">
        <v>51</v>
      </c>
    </row>
    <row r="42" spans="3:14" ht="15.75">
      <c r="C42" s="541" t="s">
        <v>116</v>
      </c>
      <c r="D42" s="541"/>
      <c r="E42" s="541"/>
      <c r="F42" s="541"/>
      <c r="G42" s="541"/>
      <c r="H42" s="541"/>
      <c r="I42" s="541"/>
      <c r="J42" s="541"/>
      <c r="K42" s="541"/>
      <c r="L42" s="541"/>
      <c r="M42" s="541"/>
      <c r="N42" s="541"/>
    </row>
    <row r="43" spans="1:15" ht="12.75">
      <c r="A43" s="29">
        <v>1</v>
      </c>
      <c r="B43" s="410">
        <v>12</v>
      </c>
      <c r="C43" s="17" t="s">
        <v>4236</v>
      </c>
      <c r="D43" s="17" t="s">
        <v>1370</v>
      </c>
      <c r="E43" s="17" t="s">
        <v>1714</v>
      </c>
      <c r="F43" s="83" t="str">
        <f>"0,6759"</f>
        <v>0,6759</v>
      </c>
      <c r="G43" s="17" t="s">
        <v>2104</v>
      </c>
      <c r="H43" s="84" t="s">
        <v>1642</v>
      </c>
      <c r="I43" s="46" t="s">
        <v>190</v>
      </c>
      <c r="J43" s="46" t="s">
        <v>818</v>
      </c>
      <c r="K43" s="120" t="s">
        <v>818</v>
      </c>
      <c r="L43" s="36"/>
      <c r="M43" s="44">
        <v>212.5</v>
      </c>
      <c r="N43" s="35" t="str">
        <f>"143,6287"</f>
        <v>143,6287</v>
      </c>
      <c r="O43" s="17" t="s">
        <v>1876</v>
      </c>
    </row>
    <row r="44" spans="1:15" ht="12.75">
      <c r="A44" s="29">
        <v>1</v>
      </c>
      <c r="C44" s="18" t="s">
        <v>4237</v>
      </c>
      <c r="D44" s="18" t="s">
        <v>1028</v>
      </c>
      <c r="E44" s="18" t="s">
        <v>1688</v>
      </c>
      <c r="F44" s="92" t="str">
        <f>"0,6806"</f>
        <v>0,6806</v>
      </c>
      <c r="G44" s="18" t="s">
        <v>2115</v>
      </c>
      <c r="H44" s="79" t="s">
        <v>603</v>
      </c>
      <c r="I44" s="115" t="s">
        <v>913</v>
      </c>
      <c r="J44" s="115" t="s">
        <v>901</v>
      </c>
      <c r="K44" s="121" t="s">
        <v>1029</v>
      </c>
      <c r="L44" s="39"/>
      <c r="M44" s="40">
        <v>290</v>
      </c>
      <c r="N44" s="38" t="str">
        <f>"197,3740"</f>
        <v>197,3740</v>
      </c>
      <c r="O44" s="18" t="s">
        <v>51</v>
      </c>
    </row>
    <row r="45" spans="1:15" ht="12.75">
      <c r="A45" s="29">
        <v>2</v>
      </c>
      <c r="B45" s="410">
        <v>21</v>
      </c>
      <c r="C45" s="18" t="s">
        <v>4238</v>
      </c>
      <c r="D45" s="18" t="s">
        <v>123</v>
      </c>
      <c r="E45" s="18" t="s">
        <v>1634</v>
      </c>
      <c r="F45" s="92" t="str">
        <f>"0,6785"</f>
        <v>0,6785</v>
      </c>
      <c r="G45" s="18" t="s">
        <v>125</v>
      </c>
      <c r="H45" s="93" t="s">
        <v>1642</v>
      </c>
      <c r="I45" s="115" t="s">
        <v>846</v>
      </c>
      <c r="J45" s="47" t="s">
        <v>913</v>
      </c>
      <c r="K45" s="47" t="s">
        <v>913</v>
      </c>
      <c r="L45" s="39"/>
      <c r="M45" s="40">
        <v>275</v>
      </c>
      <c r="N45" s="38" t="str">
        <f>"186,5875"</f>
        <v>186,5875</v>
      </c>
      <c r="O45" s="18" t="s">
        <v>1881</v>
      </c>
    </row>
    <row r="46" spans="1:15" ht="12.75">
      <c r="A46" s="29">
        <v>1</v>
      </c>
      <c r="B46" s="410">
        <v>12</v>
      </c>
      <c r="C46" s="19" t="s">
        <v>4239</v>
      </c>
      <c r="D46" s="19" t="s">
        <v>620</v>
      </c>
      <c r="E46" s="19" t="s">
        <v>1716</v>
      </c>
      <c r="F46" s="94" t="str">
        <f>"0,6888"</f>
        <v>0,6888</v>
      </c>
      <c r="G46" s="19" t="s">
        <v>125</v>
      </c>
      <c r="H46" s="95" t="s">
        <v>621</v>
      </c>
      <c r="I46" s="116" t="s">
        <v>132</v>
      </c>
      <c r="J46" s="116" t="s">
        <v>64</v>
      </c>
      <c r="K46" s="116" t="s">
        <v>153</v>
      </c>
      <c r="L46" s="42"/>
      <c r="M46" s="43">
        <v>170</v>
      </c>
      <c r="N46" s="41" t="str">
        <f>"227,1662"</f>
        <v>227,1662</v>
      </c>
      <c r="O46" s="19" t="s">
        <v>51</v>
      </c>
    </row>
    <row r="48" spans="3:14" ht="15.75">
      <c r="C48" s="541" t="s">
        <v>59</v>
      </c>
      <c r="D48" s="541"/>
      <c r="E48" s="541"/>
      <c r="F48" s="541"/>
      <c r="G48" s="541"/>
      <c r="H48" s="541"/>
      <c r="I48" s="541"/>
      <c r="J48" s="541"/>
      <c r="K48" s="541"/>
      <c r="L48" s="541"/>
      <c r="M48" s="541"/>
      <c r="N48" s="541"/>
    </row>
    <row r="49" spans="1:15" ht="12.75">
      <c r="A49" s="29">
        <v>1</v>
      </c>
      <c r="B49" s="410">
        <v>12</v>
      </c>
      <c r="C49" s="17" t="s">
        <v>4240</v>
      </c>
      <c r="D49" s="17" t="s">
        <v>1371</v>
      </c>
      <c r="E49" s="17" t="s">
        <v>1791</v>
      </c>
      <c r="F49" s="17" t="str">
        <f>"0,6388"</f>
        <v>0,6388</v>
      </c>
      <c r="G49" s="17" t="s">
        <v>14</v>
      </c>
      <c r="H49" s="83" t="s">
        <v>1642</v>
      </c>
      <c r="I49" s="46" t="s">
        <v>127</v>
      </c>
      <c r="J49" s="122" t="s">
        <v>127</v>
      </c>
      <c r="K49" s="46" t="s">
        <v>190</v>
      </c>
      <c r="L49" s="36"/>
      <c r="M49" s="44">
        <v>180</v>
      </c>
      <c r="N49" s="35" t="str">
        <f>"114,9840"</f>
        <v>114,9840</v>
      </c>
      <c r="O49" s="17" t="s">
        <v>1664</v>
      </c>
    </row>
    <row r="50" spans="1:15" ht="12.75">
      <c r="A50" s="29">
        <v>1</v>
      </c>
      <c r="B50" s="410">
        <v>30</v>
      </c>
      <c r="C50" s="18" t="s">
        <v>4241</v>
      </c>
      <c r="D50" s="18" t="s">
        <v>146</v>
      </c>
      <c r="E50" s="18" t="s">
        <v>1718</v>
      </c>
      <c r="F50" s="18" t="str">
        <f>"0,6424"</f>
        <v>0,6424</v>
      </c>
      <c r="G50" s="18" t="s">
        <v>148</v>
      </c>
      <c r="H50" s="92" t="s">
        <v>149</v>
      </c>
      <c r="I50" s="47" t="s">
        <v>860</v>
      </c>
      <c r="J50" s="123" t="s">
        <v>860</v>
      </c>
      <c r="K50" s="47" t="s">
        <v>834</v>
      </c>
      <c r="L50" s="39"/>
      <c r="M50" s="40">
        <v>300</v>
      </c>
      <c r="N50" s="38" t="str">
        <f>"192,7200"</f>
        <v>192,7200</v>
      </c>
      <c r="O50" s="18" t="s">
        <v>1740</v>
      </c>
    </row>
    <row r="51" spans="1:15" ht="12.75">
      <c r="A51" s="29">
        <v>2</v>
      </c>
      <c r="C51" s="18" t="s">
        <v>3884</v>
      </c>
      <c r="D51" s="18" t="s">
        <v>156</v>
      </c>
      <c r="E51" s="18" t="s">
        <v>1677</v>
      </c>
      <c r="F51" s="18" t="str">
        <f>"0,6410"</f>
        <v>0,6410</v>
      </c>
      <c r="G51" s="18" t="s">
        <v>31</v>
      </c>
      <c r="H51" s="92" t="s">
        <v>1675</v>
      </c>
      <c r="I51" s="115" t="s">
        <v>319</v>
      </c>
      <c r="J51" s="123" t="s">
        <v>992</v>
      </c>
      <c r="K51" s="47" t="s">
        <v>846</v>
      </c>
      <c r="L51" s="39"/>
      <c r="M51" s="40">
        <v>265</v>
      </c>
      <c r="N51" s="38" t="str">
        <f>"169,8650"</f>
        <v>169,8650</v>
      </c>
      <c r="O51" s="18" t="s">
        <v>158</v>
      </c>
    </row>
    <row r="52" spans="1:15" ht="12.75">
      <c r="A52" s="29">
        <v>1</v>
      </c>
      <c r="B52" s="410">
        <v>12</v>
      </c>
      <c r="C52" s="19" t="s">
        <v>4242</v>
      </c>
      <c r="D52" s="19" t="s">
        <v>1373</v>
      </c>
      <c r="E52" s="19" t="s">
        <v>1858</v>
      </c>
      <c r="F52" s="19" t="str">
        <f>"0,6467"</f>
        <v>0,6467</v>
      </c>
      <c r="G52" s="19" t="s">
        <v>14</v>
      </c>
      <c r="H52" s="94" t="s">
        <v>119</v>
      </c>
      <c r="I52" s="116" t="s">
        <v>239</v>
      </c>
      <c r="J52" s="124" t="s">
        <v>883</v>
      </c>
      <c r="K52" s="116" t="s">
        <v>319</v>
      </c>
      <c r="L52" s="42"/>
      <c r="M52" s="43">
        <v>250</v>
      </c>
      <c r="N52" s="41" t="str">
        <f>"185,9263"</f>
        <v>185,9263</v>
      </c>
      <c r="O52" s="19" t="s">
        <v>1882</v>
      </c>
    </row>
    <row r="54" spans="3:14" ht="15.75">
      <c r="C54" s="541" t="s">
        <v>164</v>
      </c>
      <c r="D54" s="541"/>
      <c r="E54" s="541"/>
      <c r="F54" s="541"/>
      <c r="G54" s="541"/>
      <c r="H54" s="541"/>
      <c r="I54" s="541"/>
      <c r="J54" s="541"/>
      <c r="K54" s="541"/>
      <c r="L54" s="541"/>
      <c r="M54" s="541"/>
      <c r="N54" s="541"/>
    </row>
    <row r="55" spans="1:15" ht="12.75">
      <c r="A55" s="29">
        <v>1</v>
      </c>
      <c r="B55" s="410">
        <v>12</v>
      </c>
      <c r="C55" s="17" t="s">
        <v>4201</v>
      </c>
      <c r="D55" s="17" t="s">
        <v>1375</v>
      </c>
      <c r="E55" s="17" t="s">
        <v>1859</v>
      </c>
      <c r="F55" s="17" t="str">
        <f>"0,6139"</f>
        <v>0,6139</v>
      </c>
      <c r="G55" s="17" t="s">
        <v>22</v>
      </c>
      <c r="H55" s="83" t="s">
        <v>23</v>
      </c>
      <c r="I55" s="142" t="s">
        <v>317</v>
      </c>
      <c r="J55" s="138" t="s">
        <v>319</v>
      </c>
      <c r="K55" s="121" t="s">
        <v>368</v>
      </c>
      <c r="L55" s="101"/>
      <c r="M55" s="44">
        <v>250</v>
      </c>
      <c r="N55" s="35" t="str">
        <f>"153,4750"</f>
        <v>153,4750</v>
      </c>
      <c r="O55" s="17" t="s">
        <v>51</v>
      </c>
    </row>
    <row r="56" spans="1:15" ht="12.75">
      <c r="A56" s="29">
        <v>2</v>
      </c>
      <c r="C56" s="18" t="s">
        <v>4202</v>
      </c>
      <c r="D56" s="18" t="s">
        <v>1377</v>
      </c>
      <c r="E56" s="18" t="s">
        <v>1860</v>
      </c>
      <c r="F56" s="18" t="str">
        <f>"0,6232"</f>
        <v>0,6232</v>
      </c>
      <c r="G56" s="18" t="s">
        <v>31</v>
      </c>
      <c r="H56" s="92" t="s">
        <v>1642</v>
      </c>
      <c r="I56" s="143" t="s">
        <v>317</v>
      </c>
      <c r="J56" s="47" t="s">
        <v>368</v>
      </c>
      <c r="K56" s="103" t="s">
        <v>884</v>
      </c>
      <c r="L56" s="102"/>
      <c r="M56" s="40">
        <v>240</v>
      </c>
      <c r="N56" s="38" t="str">
        <f>"149,5680"</f>
        <v>149,5680</v>
      </c>
      <c r="O56" s="18" t="s">
        <v>1883</v>
      </c>
    </row>
    <row r="57" spans="1:15" ht="12.75">
      <c r="A57" s="29">
        <v>1</v>
      </c>
      <c r="B57" s="410">
        <v>30</v>
      </c>
      <c r="C57" s="18" t="s">
        <v>4203</v>
      </c>
      <c r="D57" s="18" t="s">
        <v>1379</v>
      </c>
      <c r="E57" s="18" t="s">
        <v>1861</v>
      </c>
      <c r="F57" s="18" t="str">
        <f>"0,6238"</f>
        <v>0,6238</v>
      </c>
      <c r="G57" s="18" t="s">
        <v>431</v>
      </c>
      <c r="H57" s="92" t="s">
        <v>1642</v>
      </c>
      <c r="I57" s="143" t="s">
        <v>869</v>
      </c>
      <c r="J57" s="47" t="s">
        <v>855</v>
      </c>
      <c r="K57" s="217" t="s">
        <v>914</v>
      </c>
      <c r="L57" s="102"/>
      <c r="M57" s="40">
        <v>330</v>
      </c>
      <c r="N57" s="38" t="str">
        <f>"205,8540"</f>
        <v>205,8540</v>
      </c>
      <c r="O57" s="18" t="s">
        <v>1674</v>
      </c>
    </row>
    <row r="58" spans="1:15" ht="12.75">
      <c r="A58" s="29">
        <v>2</v>
      </c>
      <c r="B58" s="410">
        <v>27</v>
      </c>
      <c r="C58" s="18" t="s">
        <v>4204</v>
      </c>
      <c r="D58" s="18" t="s">
        <v>1380</v>
      </c>
      <c r="E58" s="18" t="s">
        <v>1862</v>
      </c>
      <c r="F58" s="18" t="str">
        <f>"0,6131"</f>
        <v>0,6131</v>
      </c>
      <c r="G58" s="18" t="s">
        <v>2104</v>
      </c>
      <c r="H58" s="92" t="s">
        <v>1381</v>
      </c>
      <c r="I58" s="143" t="s">
        <v>835</v>
      </c>
      <c r="J58" s="47" t="s">
        <v>855</v>
      </c>
      <c r="K58" s="103" t="s">
        <v>855</v>
      </c>
      <c r="L58" s="102"/>
      <c r="M58" s="40">
        <v>315</v>
      </c>
      <c r="N58" s="38" t="str">
        <f>"193,1265"</f>
        <v>193,1265</v>
      </c>
      <c r="O58" s="18" t="s">
        <v>51</v>
      </c>
    </row>
    <row r="59" spans="1:15" ht="12.75">
      <c r="A59" s="29">
        <v>3</v>
      </c>
      <c r="B59" s="410">
        <v>8</v>
      </c>
      <c r="C59" s="18" t="s">
        <v>4205</v>
      </c>
      <c r="D59" s="18" t="s">
        <v>1382</v>
      </c>
      <c r="E59" s="18" t="s">
        <v>1728</v>
      </c>
      <c r="F59" s="18" t="str">
        <f>"0,6194"</f>
        <v>0,6194</v>
      </c>
      <c r="G59" s="18" t="s">
        <v>2104</v>
      </c>
      <c r="H59" s="92" t="s">
        <v>1642</v>
      </c>
      <c r="I59" s="143" t="s">
        <v>991</v>
      </c>
      <c r="J59" s="140" t="s">
        <v>884</v>
      </c>
      <c r="K59" s="103" t="s">
        <v>845</v>
      </c>
      <c r="L59" s="102"/>
      <c r="M59" s="40">
        <v>255</v>
      </c>
      <c r="N59" s="38" t="str">
        <f>"157,9470"</f>
        <v>157,9470</v>
      </c>
      <c r="O59" s="18" t="s">
        <v>1670</v>
      </c>
    </row>
    <row r="60" spans="1:15" ht="12.75">
      <c r="A60" s="29">
        <v>4</v>
      </c>
      <c r="B60" s="410">
        <v>7</v>
      </c>
      <c r="C60" s="18" t="s">
        <v>4206</v>
      </c>
      <c r="D60" s="18" t="s">
        <v>1383</v>
      </c>
      <c r="E60" s="18" t="s">
        <v>1863</v>
      </c>
      <c r="F60" s="18" t="str">
        <f>"0,6370"</f>
        <v>0,6370</v>
      </c>
      <c r="G60" s="18" t="s">
        <v>130</v>
      </c>
      <c r="H60" s="92" t="s">
        <v>267</v>
      </c>
      <c r="I60" s="143" t="s">
        <v>239</v>
      </c>
      <c r="J60" s="140" t="s">
        <v>319</v>
      </c>
      <c r="K60" s="103" t="s">
        <v>888</v>
      </c>
      <c r="L60" s="102"/>
      <c r="M60" s="40">
        <v>250</v>
      </c>
      <c r="N60" s="38" t="str">
        <f>"159,2500"</f>
        <v>159,2500</v>
      </c>
      <c r="O60" s="18" t="s">
        <v>1884</v>
      </c>
    </row>
    <row r="61" spans="1:15" ht="12.75">
      <c r="A61" s="29">
        <v>5</v>
      </c>
      <c r="C61" s="18" t="s">
        <v>4207</v>
      </c>
      <c r="D61" s="18" t="s">
        <v>1384</v>
      </c>
      <c r="E61" s="18" t="s">
        <v>1864</v>
      </c>
      <c r="F61" s="18" t="str">
        <f>"0,6158"</f>
        <v>0,6158</v>
      </c>
      <c r="G61" s="18" t="s">
        <v>31</v>
      </c>
      <c r="H61" s="92" t="s">
        <v>589</v>
      </c>
      <c r="I61" s="143" t="s">
        <v>319</v>
      </c>
      <c r="J61" s="47" t="s">
        <v>845</v>
      </c>
      <c r="K61" s="103" t="s">
        <v>888</v>
      </c>
      <c r="L61" s="102"/>
      <c r="M61" s="40">
        <v>250</v>
      </c>
      <c r="N61" s="38" t="str">
        <f>"153,9500"</f>
        <v>153,9500</v>
      </c>
      <c r="O61" s="18" t="s">
        <v>51</v>
      </c>
    </row>
    <row r="62" spans="3:15" ht="12.75">
      <c r="C62" s="92" t="s">
        <v>3186</v>
      </c>
      <c r="D62" s="92" t="s">
        <v>3187</v>
      </c>
      <c r="E62" s="18" t="s">
        <v>1751</v>
      </c>
      <c r="F62" s="93" t="str">
        <f>"0,6250"</f>
        <v>0,6250</v>
      </c>
      <c r="G62" s="93" t="s">
        <v>31</v>
      </c>
      <c r="H62" s="92" t="s">
        <v>3188</v>
      </c>
      <c r="I62" s="127" t="s">
        <v>190</v>
      </c>
      <c r="J62" s="47"/>
      <c r="K62" s="103"/>
      <c r="L62" s="102"/>
      <c r="M62" s="250">
        <v>0</v>
      </c>
      <c r="N62" s="38" t="s">
        <v>1639</v>
      </c>
      <c r="O62" s="18" t="s">
        <v>1674</v>
      </c>
    </row>
    <row r="63" spans="1:15" ht="12.75">
      <c r="A63" s="29">
        <v>1</v>
      </c>
      <c r="C63" s="19" t="s">
        <v>4208</v>
      </c>
      <c r="D63" s="19" t="s">
        <v>1385</v>
      </c>
      <c r="E63" s="19" t="s">
        <v>1680</v>
      </c>
      <c r="F63" s="19" t="str">
        <f>"0,6244"</f>
        <v>0,6244</v>
      </c>
      <c r="G63" s="19" t="s">
        <v>31</v>
      </c>
      <c r="H63" s="94" t="s">
        <v>1641</v>
      </c>
      <c r="I63" s="144" t="s">
        <v>190</v>
      </c>
      <c r="J63" s="139" t="s">
        <v>192</v>
      </c>
      <c r="K63" s="218" t="s">
        <v>312</v>
      </c>
      <c r="L63" s="109"/>
      <c r="M63" s="43">
        <v>227.5</v>
      </c>
      <c r="N63" s="41" t="str">
        <f>"174,4386"</f>
        <v>174,4386</v>
      </c>
      <c r="O63" s="19" t="s">
        <v>1386</v>
      </c>
    </row>
    <row r="65" spans="3:14" ht="15.75">
      <c r="C65" s="541" t="s">
        <v>227</v>
      </c>
      <c r="D65" s="541"/>
      <c r="E65" s="541"/>
      <c r="F65" s="541"/>
      <c r="G65" s="541"/>
      <c r="H65" s="541"/>
      <c r="I65" s="541"/>
      <c r="J65" s="541"/>
      <c r="K65" s="541"/>
      <c r="L65" s="541"/>
      <c r="M65" s="541"/>
      <c r="N65" s="541"/>
    </row>
    <row r="66" spans="1:15" ht="12.75">
      <c r="A66" s="29">
        <v>1</v>
      </c>
      <c r="B66" s="410">
        <v>12</v>
      </c>
      <c r="C66" s="17" t="s">
        <v>4209</v>
      </c>
      <c r="D66" s="17" t="s">
        <v>1388</v>
      </c>
      <c r="E66" s="17" t="s">
        <v>1865</v>
      </c>
      <c r="F66" s="17" t="str">
        <f>"0,5888"</f>
        <v>0,5888</v>
      </c>
      <c r="G66" s="17" t="s">
        <v>14</v>
      </c>
      <c r="H66" s="83" t="s">
        <v>2245</v>
      </c>
      <c r="I66" s="125" t="s">
        <v>845</v>
      </c>
      <c r="J66" s="46" t="s">
        <v>913</v>
      </c>
      <c r="K66" s="121" t="s">
        <v>913</v>
      </c>
      <c r="L66" s="101"/>
      <c r="M66" s="44">
        <v>260</v>
      </c>
      <c r="N66" s="35" t="str">
        <f>"153,0880"</f>
        <v>153,0880</v>
      </c>
      <c r="O66" s="17" t="s">
        <v>51</v>
      </c>
    </row>
    <row r="67" spans="1:15" ht="12.75">
      <c r="A67" s="29">
        <v>1</v>
      </c>
      <c r="C67" s="18" t="s">
        <v>3887</v>
      </c>
      <c r="D67" s="18" t="s">
        <v>1390</v>
      </c>
      <c r="E67" s="18" t="s">
        <v>1866</v>
      </c>
      <c r="F67" s="18" t="str">
        <f>"0,6000"</f>
        <v>0,6000</v>
      </c>
      <c r="G67" s="18" t="s">
        <v>31</v>
      </c>
      <c r="H67" s="92" t="s">
        <v>554</v>
      </c>
      <c r="I67" s="126" t="s">
        <v>238</v>
      </c>
      <c r="J67" s="115" t="s">
        <v>319</v>
      </c>
      <c r="K67" s="103" t="s">
        <v>341</v>
      </c>
      <c r="L67" s="102"/>
      <c r="M67" s="40">
        <v>250</v>
      </c>
      <c r="N67" s="38" t="str">
        <f>"150,0000"</f>
        <v>150,0000</v>
      </c>
      <c r="O67" s="18" t="s">
        <v>51</v>
      </c>
    </row>
    <row r="68" spans="1:15" ht="12.75">
      <c r="A68" s="29">
        <v>1</v>
      </c>
      <c r="B68" s="410">
        <v>30</v>
      </c>
      <c r="C68" s="18" t="s">
        <v>4210</v>
      </c>
      <c r="D68" s="18" t="s">
        <v>1392</v>
      </c>
      <c r="E68" s="18" t="s">
        <v>1798</v>
      </c>
      <c r="F68" s="18" t="str">
        <f>"0,5917"</f>
        <v>0,5917</v>
      </c>
      <c r="G68" s="18" t="s">
        <v>14</v>
      </c>
      <c r="H68" s="92" t="s">
        <v>1393</v>
      </c>
      <c r="I68" s="126" t="s">
        <v>915</v>
      </c>
      <c r="J68" s="115" t="s">
        <v>1394</v>
      </c>
      <c r="K68" s="103" t="s">
        <v>1249</v>
      </c>
      <c r="L68" s="102"/>
      <c r="M68" s="40">
        <v>362.5</v>
      </c>
      <c r="N68" s="38" t="str">
        <f>"214,4913"</f>
        <v>214,4913</v>
      </c>
      <c r="O68" s="18" t="s">
        <v>1841</v>
      </c>
    </row>
    <row r="69" spans="1:15" ht="12.75">
      <c r="A69" s="29">
        <v>2</v>
      </c>
      <c r="C69" s="18" t="s">
        <v>4211</v>
      </c>
      <c r="D69" s="18" t="s">
        <v>1395</v>
      </c>
      <c r="E69" s="18" t="s">
        <v>1867</v>
      </c>
      <c r="F69" s="18" t="str">
        <f>"0,6006"</f>
        <v>0,6006</v>
      </c>
      <c r="G69" s="18" t="s">
        <v>31</v>
      </c>
      <c r="H69" s="92" t="s">
        <v>2237</v>
      </c>
      <c r="I69" s="127" t="s">
        <v>1396</v>
      </c>
      <c r="J69" s="115" t="s">
        <v>1396</v>
      </c>
      <c r="K69" s="103" t="s">
        <v>915</v>
      </c>
      <c r="L69" s="102"/>
      <c r="M69" s="40">
        <v>335</v>
      </c>
      <c r="N69" s="38" t="str">
        <f>"201,2010"</f>
        <v>201,2010</v>
      </c>
      <c r="O69" s="18" t="s">
        <v>1885</v>
      </c>
    </row>
    <row r="70" spans="1:15" ht="12.75">
      <c r="A70" s="29">
        <v>3</v>
      </c>
      <c r="B70" s="410">
        <v>20</v>
      </c>
      <c r="C70" s="18" t="s">
        <v>4212</v>
      </c>
      <c r="D70" s="18" t="s">
        <v>1044</v>
      </c>
      <c r="E70" s="18" t="s">
        <v>1868</v>
      </c>
      <c r="F70" s="18" t="str">
        <f>"0,5964"</f>
        <v>0,5964</v>
      </c>
      <c r="G70" s="18" t="s">
        <v>130</v>
      </c>
      <c r="H70" s="92" t="s">
        <v>1642</v>
      </c>
      <c r="I70" s="126" t="s">
        <v>913</v>
      </c>
      <c r="J70" s="115" t="s">
        <v>1045</v>
      </c>
      <c r="K70" s="123" t="s">
        <v>834</v>
      </c>
      <c r="L70" s="102"/>
      <c r="M70" s="40">
        <v>305</v>
      </c>
      <c r="N70" s="38" t="str">
        <f>"181,9020"</f>
        <v>181,9020</v>
      </c>
      <c r="O70" s="18" t="s">
        <v>1702</v>
      </c>
    </row>
    <row r="71" spans="1:15" ht="12.75">
      <c r="A71" s="29">
        <v>4</v>
      </c>
      <c r="C71" s="18" t="s">
        <v>4213</v>
      </c>
      <c r="D71" s="18" t="s">
        <v>1397</v>
      </c>
      <c r="E71" s="18" t="s">
        <v>1869</v>
      </c>
      <c r="F71" s="18" t="str">
        <f>"0,5900"</f>
        <v>0,5900</v>
      </c>
      <c r="G71" s="18" t="s">
        <v>31</v>
      </c>
      <c r="H71" s="92" t="s">
        <v>1398</v>
      </c>
      <c r="I71" s="126" t="s">
        <v>860</v>
      </c>
      <c r="J71" s="47" t="s">
        <v>869</v>
      </c>
      <c r="K71" s="103" t="s">
        <v>869</v>
      </c>
      <c r="L71" s="102"/>
      <c r="M71" s="40">
        <v>300</v>
      </c>
      <c r="N71" s="38" t="str">
        <f>"177,0000"</f>
        <v>177,0000</v>
      </c>
      <c r="O71" s="18" t="s">
        <v>51</v>
      </c>
    </row>
    <row r="72" spans="1:15" ht="12.75">
      <c r="A72" s="29">
        <v>5</v>
      </c>
      <c r="C72" s="18" t="s">
        <v>4214</v>
      </c>
      <c r="D72" s="18" t="s">
        <v>1242</v>
      </c>
      <c r="E72" s="18" t="s">
        <v>1870</v>
      </c>
      <c r="F72" s="18" t="str">
        <f>"0,5948"</f>
        <v>0,5948</v>
      </c>
      <c r="G72" s="18" t="s">
        <v>31</v>
      </c>
      <c r="H72" s="92" t="s">
        <v>1243</v>
      </c>
      <c r="I72" s="126" t="s">
        <v>901</v>
      </c>
      <c r="J72" s="47" t="s">
        <v>860</v>
      </c>
      <c r="K72" s="103" t="s">
        <v>860</v>
      </c>
      <c r="L72" s="102"/>
      <c r="M72" s="40">
        <v>290</v>
      </c>
      <c r="N72" s="38" t="str">
        <f>"172,4920"</f>
        <v>172,4920</v>
      </c>
      <c r="O72" s="18" t="s">
        <v>51</v>
      </c>
    </row>
    <row r="73" spans="1:15" ht="12.75">
      <c r="A73" s="29">
        <v>6</v>
      </c>
      <c r="B73" s="410">
        <v>5</v>
      </c>
      <c r="C73" s="18" t="s">
        <v>4243</v>
      </c>
      <c r="D73" s="18" t="s">
        <v>1052</v>
      </c>
      <c r="E73" s="18" t="s">
        <v>2025</v>
      </c>
      <c r="F73" s="18" t="str">
        <f>"0,6083"</f>
        <v>0,6083</v>
      </c>
      <c r="G73" s="18" t="s">
        <v>22</v>
      </c>
      <c r="H73" s="92" t="s">
        <v>23</v>
      </c>
      <c r="I73" s="126" t="s">
        <v>238</v>
      </c>
      <c r="J73" s="115" t="s">
        <v>319</v>
      </c>
      <c r="K73" s="103" t="s">
        <v>860</v>
      </c>
      <c r="L73" s="102"/>
      <c r="M73" s="40">
        <v>250</v>
      </c>
      <c r="N73" s="38" t="s">
        <v>2181</v>
      </c>
      <c r="O73" s="18" t="s">
        <v>51</v>
      </c>
    </row>
    <row r="74" spans="1:15" ht="12.75">
      <c r="A74" s="29">
        <v>7</v>
      </c>
      <c r="B74" s="410">
        <v>4</v>
      </c>
      <c r="C74" s="18" t="s">
        <v>4215</v>
      </c>
      <c r="D74" s="18" t="s">
        <v>1399</v>
      </c>
      <c r="E74" s="18" t="s">
        <v>1871</v>
      </c>
      <c r="F74" s="18" t="str">
        <f>"0,5952"</f>
        <v>0,5952</v>
      </c>
      <c r="G74" s="18" t="s">
        <v>22</v>
      </c>
      <c r="H74" s="92" t="s">
        <v>2259</v>
      </c>
      <c r="I74" s="126" t="s">
        <v>239</v>
      </c>
      <c r="J74" s="47" t="s">
        <v>368</v>
      </c>
      <c r="K74" s="103" t="s">
        <v>368</v>
      </c>
      <c r="L74" s="102"/>
      <c r="M74" s="40">
        <v>235</v>
      </c>
      <c r="N74" s="38" t="str">
        <f>"139,8720"</f>
        <v>139,8720</v>
      </c>
      <c r="O74" s="18" t="s">
        <v>1886</v>
      </c>
    </row>
    <row r="75" spans="1:15" ht="12.75">
      <c r="A75" s="29">
        <v>1</v>
      </c>
      <c r="B75" s="410">
        <v>24</v>
      </c>
      <c r="C75" s="19" t="s">
        <v>4216</v>
      </c>
      <c r="D75" s="19" t="s">
        <v>1400</v>
      </c>
      <c r="E75" s="19" t="s">
        <v>1724</v>
      </c>
      <c r="F75" s="19" t="str">
        <f>"0,5905"</f>
        <v>0,5905</v>
      </c>
      <c r="G75" s="19" t="s">
        <v>125</v>
      </c>
      <c r="H75" s="94" t="s">
        <v>1304</v>
      </c>
      <c r="I75" s="108" t="s">
        <v>845</v>
      </c>
      <c r="J75" s="116" t="s">
        <v>845</v>
      </c>
      <c r="K75" s="124" t="s">
        <v>913</v>
      </c>
      <c r="L75" s="109"/>
      <c r="M75" s="43">
        <v>280</v>
      </c>
      <c r="N75" s="41" t="str">
        <f>"178,2365"</f>
        <v>178,2365</v>
      </c>
      <c r="O75" s="19" t="s">
        <v>1743</v>
      </c>
    </row>
    <row r="77" spans="3:14" ht="15.75">
      <c r="C77" s="508" t="s">
        <v>304</v>
      </c>
      <c r="D77" s="508"/>
      <c r="E77" s="508"/>
      <c r="F77" s="508"/>
      <c r="G77" s="508"/>
      <c r="H77" s="508"/>
      <c r="I77" s="508"/>
      <c r="J77" s="508"/>
      <c r="K77" s="508"/>
      <c r="L77" s="508"/>
      <c r="M77" s="508"/>
      <c r="N77" s="508"/>
    </row>
    <row r="78" spans="1:15" ht="12.75">
      <c r="A78" s="29">
        <v>1</v>
      </c>
      <c r="C78" s="17" t="s">
        <v>4217</v>
      </c>
      <c r="D78" s="17" t="s">
        <v>1402</v>
      </c>
      <c r="E78" s="17" t="s">
        <v>1872</v>
      </c>
      <c r="F78" s="17" t="str">
        <f>"0,5764"</f>
        <v>0,5764</v>
      </c>
      <c r="G78" s="17" t="s">
        <v>31</v>
      </c>
      <c r="H78" s="17" t="s">
        <v>692</v>
      </c>
      <c r="I78" s="114" t="s">
        <v>845</v>
      </c>
      <c r="J78" s="114" t="s">
        <v>860</v>
      </c>
      <c r="K78" s="114" t="s">
        <v>1403</v>
      </c>
      <c r="L78" s="114" t="s">
        <v>835</v>
      </c>
      <c r="M78" s="44">
        <v>311</v>
      </c>
      <c r="N78" s="35" t="s">
        <v>1423</v>
      </c>
      <c r="O78" s="17" t="s">
        <v>1887</v>
      </c>
    </row>
    <row r="79" spans="1:15" ht="12.75">
      <c r="A79" s="29">
        <v>2</v>
      </c>
      <c r="B79" s="410">
        <v>21</v>
      </c>
      <c r="C79" s="18" t="s">
        <v>4218</v>
      </c>
      <c r="D79" s="18" t="s">
        <v>1253</v>
      </c>
      <c r="E79" s="18" t="s">
        <v>1873</v>
      </c>
      <c r="F79" s="18" t="str">
        <f>"0,5793"</f>
        <v>0,5793</v>
      </c>
      <c r="G79" s="18" t="s">
        <v>22</v>
      </c>
      <c r="H79" s="18" t="s">
        <v>23</v>
      </c>
      <c r="I79" s="115" t="s">
        <v>869</v>
      </c>
      <c r="J79" s="47" t="s">
        <v>1396</v>
      </c>
      <c r="K79" s="47" t="s">
        <v>1396</v>
      </c>
      <c r="L79" s="39"/>
      <c r="M79" s="40">
        <v>310</v>
      </c>
      <c r="N79" s="38" t="str">
        <f>"179,5830"</f>
        <v>179,5830</v>
      </c>
      <c r="O79" s="18" t="s">
        <v>2178</v>
      </c>
    </row>
    <row r="80" spans="1:15" ht="12.75">
      <c r="A80" s="29">
        <v>1</v>
      </c>
      <c r="C80" s="18" t="s">
        <v>4219</v>
      </c>
      <c r="D80" s="18" t="s">
        <v>1255</v>
      </c>
      <c r="E80" s="18" t="s">
        <v>1662</v>
      </c>
      <c r="F80" s="18" t="str">
        <f>"0,5785"</f>
        <v>0,5785</v>
      </c>
      <c r="G80" s="18" t="s">
        <v>209</v>
      </c>
      <c r="H80" s="18" t="s">
        <v>1647</v>
      </c>
      <c r="I80" s="115" t="s">
        <v>901</v>
      </c>
      <c r="J80" s="115" t="s">
        <v>860</v>
      </c>
      <c r="K80" s="47" t="s">
        <v>834</v>
      </c>
      <c r="L80" s="39"/>
      <c r="M80" s="40">
        <v>300</v>
      </c>
      <c r="N80" s="38" t="str">
        <f>"173,5500"</f>
        <v>173,5500</v>
      </c>
      <c r="O80" s="18" t="s">
        <v>2179</v>
      </c>
    </row>
    <row r="81" spans="1:15" ht="12.75">
      <c r="A81" s="29">
        <v>2</v>
      </c>
      <c r="B81" s="410">
        <v>21</v>
      </c>
      <c r="C81" s="18" t="s">
        <v>4220</v>
      </c>
      <c r="D81" s="18" t="s">
        <v>1404</v>
      </c>
      <c r="E81" s="18" t="s">
        <v>1735</v>
      </c>
      <c r="F81" s="18" t="str">
        <f>"0,5763"</f>
        <v>0,5763</v>
      </c>
      <c r="G81" s="18" t="s">
        <v>2104</v>
      </c>
      <c r="H81" s="18" t="s">
        <v>1845</v>
      </c>
      <c r="I81" s="115" t="s">
        <v>860</v>
      </c>
      <c r="J81" s="47" t="s">
        <v>1396</v>
      </c>
      <c r="K81" s="47" t="s">
        <v>1396</v>
      </c>
      <c r="L81" s="39"/>
      <c r="M81" s="40">
        <v>300</v>
      </c>
      <c r="N81" s="38" t="str">
        <f>"172,8900"</f>
        <v>172,8900</v>
      </c>
      <c r="O81" s="18" t="s">
        <v>51</v>
      </c>
    </row>
    <row r="82" spans="1:15" ht="12.75">
      <c r="A82" s="29">
        <v>3</v>
      </c>
      <c r="B82" s="410">
        <v>8</v>
      </c>
      <c r="C82" s="19" t="s">
        <v>4221</v>
      </c>
      <c r="D82" s="19" t="s">
        <v>335</v>
      </c>
      <c r="E82" s="19" t="s">
        <v>88</v>
      </c>
      <c r="F82" s="19" t="str">
        <f>"0,5749"</f>
        <v>0,5749</v>
      </c>
      <c r="G82" s="19" t="s">
        <v>2104</v>
      </c>
      <c r="H82" s="19" t="s">
        <v>337</v>
      </c>
      <c r="I82" s="48" t="s">
        <v>319</v>
      </c>
      <c r="J82" s="116" t="s">
        <v>319</v>
      </c>
      <c r="K82" s="116" t="s">
        <v>992</v>
      </c>
      <c r="L82" s="42"/>
      <c r="M82" s="43">
        <v>265</v>
      </c>
      <c r="N82" s="41" t="str">
        <f>"152,3485"</f>
        <v>152,3485</v>
      </c>
      <c r="O82" s="19" t="s">
        <v>1670</v>
      </c>
    </row>
    <row r="84" spans="3:14" ht="15.75">
      <c r="C84" s="508" t="s">
        <v>355</v>
      </c>
      <c r="D84" s="508"/>
      <c r="E84" s="508"/>
      <c r="F84" s="508"/>
      <c r="G84" s="508"/>
      <c r="H84" s="508"/>
      <c r="I84" s="508"/>
      <c r="J84" s="508"/>
      <c r="K84" s="508"/>
      <c r="L84" s="508"/>
      <c r="M84" s="508"/>
      <c r="N84" s="508"/>
    </row>
    <row r="85" spans="1:15" ht="12.75">
      <c r="A85" s="29">
        <v>1</v>
      </c>
      <c r="C85" s="17" t="s">
        <v>4222</v>
      </c>
      <c r="D85" s="17" t="s">
        <v>1406</v>
      </c>
      <c r="E85" s="17" t="s">
        <v>1102</v>
      </c>
      <c r="F85" s="17" t="str">
        <f>"0,5600"</f>
        <v>0,5600</v>
      </c>
      <c r="G85" s="17" t="s">
        <v>31</v>
      </c>
      <c r="H85" s="17" t="s">
        <v>1407</v>
      </c>
      <c r="I85" s="114" t="s">
        <v>1249</v>
      </c>
      <c r="J85" s="46" t="s">
        <v>1408</v>
      </c>
      <c r="K85" s="36"/>
      <c r="L85" s="36"/>
      <c r="M85" s="44">
        <v>370</v>
      </c>
      <c r="N85" s="35" t="str">
        <f>"207,2000"</f>
        <v>207,2000</v>
      </c>
      <c r="O85" s="17" t="s">
        <v>51</v>
      </c>
    </row>
    <row r="86" spans="1:15" ht="12.75">
      <c r="A86" s="29">
        <v>2</v>
      </c>
      <c r="C86" s="18" t="s">
        <v>4223</v>
      </c>
      <c r="D86" s="18" t="s">
        <v>1409</v>
      </c>
      <c r="E86" s="18" t="s">
        <v>1874</v>
      </c>
      <c r="F86" s="18" t="str">
        <f>"0,5626"</f>
        <v>0,5626</v>
      </c>
      <c r="G86" s="18" t="s">
        <v>31</v>
      </c>
      <c r="H86" s="18" t="s">
        <v>1410</v>
      </c>
      <c r="I86" s="115" t="s">
        <v>1411</v>
      </c>
      <c r="J86" s="47" t="s">
        <v>911</v>
      </c>
      <c r="K86" s="47" t="s">
        <v>911</v>
      </c>
      <c r="L86" s="39"/>
      <c r="M86" s="40">
        <v>355</v>
      </c>
      <c r="N86" s="38" t="str">
        <f>"199,7230"</f>
        <v>199,7230</v>
      </c>
      <c r="O86" s="18" t="s">
        <v>51</v>
      </c>
    </row>
    <row r="87" spans="1:15" ht="12.75">
      <c r="A87" s="29">
        <v>3</v>
      </c>
      <c r="B87" s="410">
        <v>20</v>
      </c>
      <c r="C87" s="19" t="s">
        <v>4224</v>
      </c>
      <c r="D87" s="19" t="s">
        <v>1412</v>
      </c>
      <c r="E87" s="19" t="s">
        <v>1875</v>
      </c>
      <c r="F87" s="19" t="str">
        <f>"0,5634"</f>
        <v>0,5634</v>
      </c>
      <c r="G87" s="19" t="s">
        <v>2104</v>
      </c>
      <c r="H87" s="19" t="s">
        <v>119</v>
      </c>
      <c r="I87" s="116" t="s">
        <v>869</v>
      </c>
      <c r="J87" s="116" t="s">
        <v>836</v>
      </c>
      <c r="K87" s="48" t="s">
        <v>855</v>
      </c>
      <c r="L87" s="42"/>
      <c r="M87" s="43">
        <v>320</v>
      </c>
      <c r="N87" s="41" t="str">
        <f>"180,2880"</f>
        <v>180,2880</v>
      </c>
      <c r="O87" s="19" t="s">
        <v>51</v>
      </c>
    </row>
    <row r="89" spans="3:4" ht="18">
      <c r="C89" s="16" t="s">
        <v>370</v>
      </c>
      <c r="D89" s="16"/>
    </row>
    <row r="90" spans="3:4" ht="15.75">
      <c r="C90" s="22" t="s">
        <v>371</v>
      </c>
      <c r="D90" s="22"/>
    </row>
    <row r="91" spans="3:4" ht="13.5">
      <c r="C91" s="24"/>
      <c r="D91" s="25" t="s">
        <v>2102</v>
      </c>
    </row>
    <row r="92" spans="3:7" ht="13.5">
      <c r="C92" s="26" t="s">
        <v>373</v>
      </c>
      <c r="D92" s="26" t="s">
        <v>374</v>
      </c>
      <c r="E92" s="26" t="s">
        <v>375</v>
      </c>
      <c r="F92" s="26" t="s">
        <v>376</v>
      </c>
      <c r="G92" s="26" t="s">
        <v>377</v>
      </c>
    </row>
    <row r="93" spans="1:7" ht="12.75">
      <c r="A93" s="29">
        <v>1</v>
      </c>
      <c r="C93" s="90" t="s">
        <v>1356</v>
      </c>
      <c r="D93" s="49" t="s">
        <v>395</v>
      </c>
      <c r="E93" s="49" t="s">
        <v>764</v>
      </c>
      <c r="F93" s="49" t="s">
        <v>598</v>
      </c>
      <c r="G93" s="50" t="s">
        <v>1414</v>
      </c>
    </row>
    <row r="94" spans="1:7" ht="12.75">
      <c r="A94" s="29">
        <v>2</v>
      </c>
      <c r="C94" s="90" t="s">
        <v>1360</v>
      </c>
      <c r="D94" s="49" t="s">
        <v>395</v>
      </c>
      <c r="E94" s="49" t="s">
        <v>380</v>
      </c>
      <c r="F94" s="49" t="s">
        <v>471</v>
      </c>
      <c r="G94" s="50" t="s">
        <v>1415</v>
      </c>
    </row>
    <row r="95" spans="1:7" ht="12.75">
      <c r="A95" s="29">
        <v>3</v>
      </c>
      <c r="C95" s="90" t="s">
        <v>1348</v>
      </c>
      <c r="D95" s="49" t="s">
        <v>395</v>
      </c>
      <c r="E95" s="49" t="s">
        <v>769</v>
      </c>
      <c r="F95" s="49" t="s">
        <v>93</v>
      </c>
      <c r="G95" s="50" t="s">
        <v>1416</v>
      </c>
    </row>
    <row r="96" spans="3:7" ht="13.5">
      <c r="C96" s="24"/>
      <c r="D96" s="118" t="s">
        <v>2102</v>
      </c>
      <c r="E96" s="49"/>
      <c r="F96" s="49"/>
      <c r="G96" s="49"/>
    </row>
    <row r="97" spans="3:7" ht="13.5">
      <c r="C97" s="26" t="s">
        <v>373</v>
      </c>
      <c r="D97" s="26" t="s">
        <v>374</v>
      </c>
      <c r="E97" s="26" t="s">
        <v>375</v>
      </c>
      <c r="F97" s="26" t="s">
        <v>376</v>
      </c>
      <c r="G97" s="26" t="s">
        <v>377</v>
      </c>
    </row>
    <row r="98" spans="1:7" ht="12.75">
      <c r="A98" s="29">
        <v>1</v>
      </c>
      <c r="C98" s="90" t="s">
        <v>60</v>
      </c>
      <c r="D98" s="49" t="s">
        <v>372</v>
      </c>
      <c r="E98" s="49" t="s">
        <v>378</v>
      </c>
      <c r="F98" s="49" t="s">
        <v>108</v>
      </c>
      <c r="G98" s="50" t="s">
        <v>1417</v>
      </c>
    </row>
    <row r="99" spans="1:7" ht="12.75">
      <c r="A99" s="29">
        <v>2</v>
      </c>
      <c r="C99" s="90" t="s">
        <v>1351</v>
      </c>
      <c r="D99" s="49" t="s">
        <v>372</v>
      </c>
      <c r="E99" s="49" t="s">
        <v>385</v>
      </c>
      <c r="F99" s="49" t="s">
        <v>101</v>
      </c>
      <c r="G99" s="50" t="s">
        <v>1413</v>
      </c>
    </row>
    <row r="100" spans="1:7" ht="12.75">
      <c r="A100" s="29">
        <v>3</v>
      </c>
      <c r="C100" s="90" t="s">
        <v>1354</v>
      </c>
      <c r="D100" s="49" t="s">
        <v>372</v>
      </c>
      <c r="E100" s="49" t="s">
        <v>385</v>
      </c>
      <c r="F100" s="49" t="s">
        <v>139</v>
      </c>
      <c r="G100" s="50" t="s">
        <v>1418</v>
      </c>
    </row>
    <row r="101" spans="4:7" ht="12.75">
      <c r="D101" s="49"/>
      <c r="E101" s="49"/>
      <c r="F101" s="49"/>
      <c r="G101" s="49"/>
    </row>
    <row r="102" spans="3:7" ht="15.75">
      <c r="C102" s="22" t="s">
        <v>387</v>
      </c>
      <c r="D102" s="78"/>
      <c r="E102" s="49"/>
      <c r="F102" s="49"/>
      <c r="G102" s="49"/>
    </row>
    <row r="103" spans="3:7" ht="13.5">
      <c r="C103" s="24"/>
      <c r="D103" s="118" t="s">
        <v>2102</v>
      </c>
      <c r="E103" s="49"/>
      <c r="F103" s="49"/>
      <c r="G103" s="49"/>
    </row>
    <row r="104" spans="3:7" ht="13.5">
      <c r="C104" s="26" t="s">
        <v>373</v>
      </c>
      <c r="D104" s="26" t="s">
        <v>374</v>
      </c>
      <c r="E104" s="26" t="s">
        <v>375</v>
      </c>
      <c r="F104" s="26" t="s">
        <v>376</v>
      </c>
      <c r="G104" s="26" t="s">
        <v>377</v>
      </c>
    </row>
    <row r="105" spans="1:7" ht="12.75">
      <c r="A105" s="29">
        <v>1</v>
      </c>
      <c r="C105" s="90" t="s">
        <v>1374</v>
      </c>
      <c r="D105" s="49" t="s">
        <v>388</v>
      </c>
      <c r="E105" s="49" t="s">
        <v>397</v>
      </c>
      <c r="F105" s="49" t="s">
        <v>319</v>
      </c>
      <c r="G105" s="50" t="s">
        <v>1419</v>
      </c>
    </row>
    <row r="106" spans="1:7" ht="12.75">
      <c r="A106" s="29">
        <v>2</v>
      </c>
      <c r="C106" s="90" t="s">
        <v>1387</v>
      </c>
      <c r="D106" s="49" t="s">
        <v>388</v>
      </c>
      <c r="E106" s="49" t="s">
        <v>392</v>
      </c>
      <c r="F106" s="49" t="s">
        <v>845</v>
      </c>
      <c r="G106" s="50" t="s">
        <v>1420</v>
      </c>
    </row>
    <row r="107" spans="1:7" ht="12.75">
      <c r="A107" s="29">
        <v>3</v>
      </c>
      <c r="C107" s="90" t="s">
        <v>1376</v>
      </c>
      <c r="D107" s="49" t="s">
        <v>388</v>
      </c>
      <c r="E107" s="49" t="s">
        <v>397</v>
      </c>
      <c r="F107" s="49" t="s">
        <v>317</v>
      </c>
      <c r="G107" s="50" t="s">
        <v>1421</v>
      </c>
    </row>
    <row r="108" spans="3:7" ht="13.5">
      <c r="C108" s="24"/>
      <c r="D108" s="118" t="s">
        <v>2102</v>
      </c>
      <c r="E108" s="49"/>
      <c r="F108" s="49"/>
      <c r="G108" s="49"/>
    </row>
    <row r="109" spans="3:7" ht="13.5">
      <c r="C109" s="26" t="s">
        <v>373</v>
      </c>
      <c r="D109" s="26" t="s">
        <v>374</v>
      </c>
      <c r="E109" s="26" t="s">
        <v>375</v>
      </c>
      <c r="F109" s="26" t="s">
        <v>376</v>
      </c>
      <c r="G109" s="26" t="s">
        <v>377</v>
      </c>
    </row>
    <row r="110" spans="1:7" ht="12.75">
      <c r="A110" s="29">
        <v>1</v>
      </c>
      <c r="C110" s="90" t="s">
        <v>1252</v>
      </c>
      <c r="D110" s="49" t="s">
        <v>395</v>
      </c>
      <c r="E110" s="49" t="s">
        <v>389</v>
      </c>
      <c r="F110" s="49" t="s">
        <v>869</v>
      </c>
      <c r="G110" s="50" t="s">
        <v>1422</v>
      </c>
    </row>
    <row r="111" spans="1:7" ht="12.75">
      <c r="A111" s="29">
        <v>2</v>
      </c>
      <c r="C111" s="90" t="s">
        <v>1401</v>
      </c>
      <c r="D111" s="49" t="s">
        <v>395</v>
      </c>
      <c r="E111" s="49" t="s">
        <v>389</v>
      </c>
      <c r="F111" s="49" t="s">
        <v>1403</v>
      </c>
      <c r="G111" s="50" t="s">
        <v>1423</v>
      </c>
    </row>
    <row r="112" spans="1:7" ht="12.75">
      <c r="A112" s="29">
        <v>3</v>
      </c>
      <c r="C112" s="90" t="s">
        <v>1389</v>
      </c>
      <c r="D112" s="49" t="s">
        <v>395</v>
      </c>
      <c r="E112" s="49" t="s">
        <v>392</v>
      </c>
      <c r="F112" s="49" t="s">
        <v>319</v>
      </c>
      <c r="G112" s="50" t="s">
        <v>1424</v>
      </c>
    </row>
    <row r="113" spans="3:7" ht="13.5">
      <c r="C113" s="24"/>
      <c r="D113" s="118" t="s">
        <v>2102</v>
      </c>
      <c r="E113" s="49"/>
      <c r="F113" s="49"/>
      <c r="G113" s="49"/>
    </row>
    <row r="114" spans="3:7" ht="13.5">
      <c r="C114" s="26" t="s">
        <v>373</v>
      </c>
      <c r="D114" s="26" t="s">
        <v>374</v>
      </c>
      <c r="E114" s="26" t="s">
        <v>375</v>
      </c>
      <c r="F114" s="26" t="s">
        <v>376</v>
      </c>
      <c r="G114" s="26" t="s">
        <v>377</v>
      </c>
    </row>
    <row r="115" spans="1:7" ht="12.75">
      <c r="A115" s="29">
        <v>1</v>
      </c>
      <c r="C115" s="90" t="s">
        <v>1391</v>
      </c>
      <c r="D115" s="49" t="s">
        <v>372</v>
      </c>
      <c r="E115" s="49" t="s">
        <v>392</v>
      </c>
      <c r="F115" s="49" t="s">
        <v>1394</v>
      </c>
      <c r="G115" s="50" t="s">
        <v>1425</v>
      </c>
    </row>
    <row r="116" spans="1:7" ht="12.75">
      <c r="A116" s="29">
        <v>2</v>
      </c>
      <c r="C116" s="90" t="s">
        <v>1405</v>
      </c>
      <c r="D116" s="49" t="s">
        <v>372</v>
      </c>
      <c r="E116" s="49" t="s">
        <v>400</v>
      </c>
      <c r="F116" s="49" t="s">
        <v>1249</v>
      </c>
      <c r="G116" s="50" t="s">
        <v>1426</v>
      </c>
    </row>
    <row r="117" spans="1:7" ht="12.75">
      <c r="A117" s="29">
        <v>3</v>
      </c>
      <c r="C117" s="90" t="s">
        <v>1378</v>
      </c>
      <c r="D117" s="49" t="s">
        <v>372</v>
      </c>
      <c r="E117" s="49" t="s">
        <v>397</v>
      </c>
      <c r="F117" s="49" t="s">
        <v>914</v>
      </c>
      <c r="G117" s="50" t="s">
        <v>1427</v>
      </c>
    </row>
    <row r="118" spans="3:7" ht="13.5">
      <c r="C118" s="24"/>
      <c r="D118" s="118" t="s">
        <v>2102</v>
      </c>
      <c r="E118" s="49"/>
      <c r="F118" s="49"/>
      <c r="G118" s="49"/>
    </row>
    <row r="119" spans="3:7" ht="13.5">
      <c r="C119" s="26" t="s">
        <v>373</v>
      </c>
      <c r="D119" s="26" t="s">
        <v>374</v>
      </c>
      <c r="E119" s="26" t="s">
        <v>375</v>
      </c>
      <c r="F119" s="26" t="s">
        <v>376</v>
      </c>
      <c r="G119" s="26" t="s">
        <v>377</v>
      </c>
    </row>
    <row r="120" spans="1:7" ht="12.75">
      <c r="A120" s="29">
        <v>1</v>
      </c>
      <c r="C120" s="90" t="s">
        <v>619</v>
      </c>
      <c r="D120" s="49" t="s">
        <v>411</v>
      </c>
      <c r="E120" s="49" t="s">
        <v>404</v>
      </c>
      <c r="F120" s="49" t="s">
        <v>153</v>
      </c>
      <c r="G120" s="50" t="s">
        <v>1428</v>
      </c>
    </row>
    <row r="121" spans="1:7" ht="12.75">
      <c r="A121" s="29">
        <v>2</v>
      </c>
      <c r="C121" s="90" t="s">
        <v>1367</v>
      </c>
      <c r="D121" s="49" t="s">
        <v>410</v>
      </c>
      <c r="E121" s="49" t="s">
        <v>380</v>
      </c>
      <c r="F121" s="49" t="s">
        <v>253</v>
      </c>
      <c r="G121" s="50" t="s">
        <v>1429</v>
      </c>
    </row>
    <row r="122" spans="1:7" ht="12.75">
      <c r="A122" s="29">
        <v>3</v>
      </c>
      <c r="C122" s="90" t="s">
        <v>1372</v>
      </c>
      <c r="D122" s="49" t="s">
        <v>410</v>
      </c>
      <c r="E122" s="49" t="s">
        <v>378</v>
      </c>
      <c r="F122" s="49" t="s">
        <v>319</v>
      </c>
      <c r="G122" s="50" t="s">
        <v>1430</v>
      </c>
    </row>
  </sheetData>
  <sheetProtection/>
  <mergeCells count="29">
    <mergeCell ref="C42:N42"/>
    <mergeCell ref="M3:M4"/>
    <mergeCell ref="C84:N84"/>
    <mergeCell ref="C77:N77"/>
    <mergeCell ref="N3:N4"/>
    <mergeCell ref="C65:N65"/>
    <mergeCell ref="C21:N21"/>
    <mergeCell ref="C25:N25"/>
    <mergeCell ref="C28:N28"/>
    <mergeCell ref="C31:N31"/>
    <mergeCell ref="I3:L3"/>
    <mergeCell ref="C8:N8"/>
    <mergeCell ref="C11:N11"/>
    <mergeCell ref="C17:N17"/>
    <mergeCell ref="A3:A4"/>
    <mergeCell ref="C38:N38"/>
    <mergeCell ref="C34:N34"/>
    <mergeCell ref="C5:N5"/>
    <mergeCell ref="B3:B4"/>
    <mergeCell ref="O3:O4"/>
    <mergeCell ref="C48:N48"/>
    <mergeCell ref="C54:N54"/>
    <mergeCell ref="C1:O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3">
      <selection activeCell="G14" sqref="G14"/>
    </sheetView>
  </sheetViews>
  <sheetFormatPr defaultColWidth="11.375" defaultRowHeight="12.75"/>
  <cols>
    <col min="1" max="1" width="7.875" style="29" customWidth="1"/>
    <col min="2" max="2" width="11.625" style="410" customWidth="1"/>
    <col min="3" max="3" width="26.75390625" style="0" customWidth="1"/>
    <col min="4" max="4" width="26.00390625" style="0" customWidth="1"/>
    <col min="5" max="5" width="9.875" style="0" customWidth="1"/>
    <col min="6" max="6" width="11.25390625" style="0" customWidth="1"/>
    <col min="7" max="7" width="27.375" style="0" customWidth="1"/>
    <col min="8" max="8" width="32.625" style="0" customWidth="1"/>
    <col min="9" max="12" width="11.375" style="0" customWidth="1"/>
    <col min="13" max="13" width="16.00390625" style="0" customWidth="1"/>
  </cols>
  <sheetData>
    <row r="1" spans="1:13" ht="57.75" customHeight="1">
      <c r="A1" s="82"/>
      <c r="B1" s="399"/>
      <c r="C1" s="509" t="s">
        <v>4716</v>
      </c>
      <c r="D1" s="509"/>
      <c r="E1" s="509"/>
      <c r="F1" s="509"/>
      <c r="G1" s="509"/>
      <c r="H1" s="509"/>
      <c r="I1" s="509"/>
      <c r="J1" s="509"/>
      <c r="K1" s="509"/>
      <c r="L1" s="509"/>
      <c r="M1" s="509"/>
    </row>
    <row r="2" spans="1:13" ht="30" thickBot="1">
      <c r="A2" s="82"/>
      <c r="B2" s="399"/>
      <c r="C2" s="509" t="s">
        <v>2322</v>
      </c>
      <c r="D2" s="509"/>
      <c r="E2" s="509"/>
      <c r="F2" s="509"/>
      <c r="G2" s="509"/>
      <c r="H2" s="509"/>
      <c r="I2" s="509"/>
      <c r="J2" s="509"/>
      <c r="K2" s="509"/>
      <c r="L2" s="509"/>
      <c r="M2" s="509"/>
    </row>
    <row r="3" spans="1:13" ht="16.5" customHeight="1">
      <c r="A3" s="512" t="s">
        <v>1627</v>
      </c>
      <c r="B3" s="516" t="s">
        <v>4516</v>
      </c>
      <c r="C3" s="514" t="s">
        <v>0</v>
      </c>
      <c r="D3" s="516" t="s">
        <v>2271</v>
      </c>
      <c r="E3" s="516" t="s">
        <v>1629</v>
      </c>
      <c r="F3" s="514" t="s">
        <v>2272</v>
      </c>
      <c r="G3" s="514" t="s">
        <v>7</v>
      </c>
      <c r="H3" s="514" t="s">
        <v>3275</v>
      </c>
      <c r="I3" s="514" t="s">
        <v>2</v>
      </c>
      <c r="J3" s="514"/>
      <c r="K3" s="514" t="s">
        <v>2603</v>
      </c>
      <c r="L3" s="514" t="s">
        <v>6</v>
      </c>
      <c r="M3" s="510" t="s">
        <v>5</v>
      </c>
    </row>
    <row r="4" spans="1:13" ht="15" thickBot="1">
      <c r="A4" s="513"/>
      <c r="B4" s="554"/>
      <c r="C4" s="515"/>
      <c r="D4" s="517"/>
      <c r="E4" s="517"/>
      <c r="F4" s="515"/>
      <c r="G4" s="515"/>
      <c r="H4" s="515"/>
      <c r="I4" s="457" t="s">
        <v>2604</v>
      </c>
      <c r="J4" s="457" t="s">
        <v>2605</v>
      </c>
      <c r="K4" s="515"/>
      <c r="L4" s="515"/>
      <c r="M4" s="511"/>
    </row>
    <row r="5" spans="3:13" ht="15.75">
      <c r="C5" s="508" t="s">
        <v>10</v>
      </c>
      <c r="D5" s="508"/>
      <c r="E5" s="508"/>
      <c r="F5" s="508"/>
      <c r="G5" s="508"/>
      <c r="H5" s="508"/>
      <c r="I5" s="508"/>
      <c r="J5" s="508"/>
      <c r="K5" s="508"/>
      <c r="L5" s="508"/>
      <c r="M5" s="15"/>
    </row>
    <row r="6" spans="1:13" ht="12.75">
      <c r="A6" s="29">
        <v>1</v>
      </c>
      <c r="C6" s="17" t="s">
        <v>3970</v>
      </c>
      <c r="D6" s="88" t="s">
        <v>440</v>
      </c>
      <c r="E6" s="88" t="s">
        <v>1888</v>
      </c>
      <c r="F6" s="88" t="s">
        <v>2897</v>
      </c>
      <c r="G6" s="88" t="s">
        <v>31</v>
      </c>
      <c r="H6" s="88" t="s">
        <v>1643</v>
      </c>
      <c r="I6" s="110" t="s">
        <v>2859</v>
      </c>
      <c r="J6" s="110" t="s">
        <v>2718</v>
      </c>
      <c r="K6" s="110" t="s">
        <v>2898</v>
      </c>
      <c r="L6" s="110" t="s">
        <v>2899</v>
      </c>
      <c r="M6" s="88" t="s">
        <v>2054</v>
      </c>
    </row>
    <row r="7" spans="1:13" ht="12.75">
      <c r="A7" s="29">
        <v>2</v>
      </c>
      <c r="C7" s="19" t="s">
        <v>436</v>
      </c>
      <c r="D7" s="95" t="s">
        <v>437</v>
      </c>
      <c r="E7" s="95" t="s">
        <v>2900</v>
      </c>
      <c r="F7" s="95" t="s">
        <v>2901</v>
      </c>
      <c r="G7" s="95" t="s">
        <v>31</v>
      </c>
      <c r="H7" s="95" t="s">
        <v>1641</v>
      </c>
      <c r="I7" s="111" t="s">
        <v>2859</v>
      </c>
      <c r="J7" s="111" t="s">
        <v>2756</v>
      </c>
      <c r="K7" s="111" t="s">
        <v>916</v>
      </c>
      <c r="L7" s="111" t="s">
        <v>2940</v>
      </c>
      <c r="M7" s="95" t="s">
        <v>51</v>
      </c>
    </row>
    <row r="8" spans="3:13" ht="12.75"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3:13" ht="15.75">
      <c r="C9" s="508" t="s">
        <v>80</v>
      </c>
      <c r="D9" s="508"/>
      <c r="E9" s="508"/>
      <c r="F9" s="508"/>
      <c r="G9" s="508"/>
      <c r="H9" s="508"/>
      <c r="I9" s="508"/>
      <c r="J9" s="508"/>
      <c r="K9" s="508"/>
      <c r="L9" s="508"/>
      <c r="M9" s="15"/>
    </row>
    <row r="10" spans="1:13" ht="12.75">
      <c r="A10" s="29">
        <v>1</v>
      </c>
      <c r="B10" s="410">
        <v>12</v>
      </c>
      <c r="C10" s="20" t="s">
        <v>3971</v>
      </c>
      <c r="D10" s="210" t="s">
        <v>2903</v>
      </c>
      <c r="E10" s="210" t="s">
        <v>1762</v>
      </c>
      <c r="F10" s="210" t="s">
        <v>2904</v>
      </c>
      <c r="G10" s="210" t="s">
        <v>148</v>
      </c>
      <c r="H10" s="210" t="s">
        <v>2905</v>
      </c>
      <c r="I10" s="200" t="s">
        <v>39</v>
      </c>
      <c r="J10" s="200" t="s">
        <v>2906</v>
      </c>
      <c r="K10" s="200" t="s">
        <v>2941</v>
      </c>
      <c r="L10" s="200" t="s">
        <v>2942</v>
      </c>
      <c r="M10" s="210" t="s">
        <v>2907</v>
      </c>
    </row>
    <row r="11" spans="3:13" ht="12.75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3:13" ht="15.75">
      <c r="C12" s="508" t="s">
        <v>116</v>
      </c>
      <c r="D12" s="508"/>
      <c r="E12" s="508"/>
      <c r="F12" s="508"/>
      <c r="G12" s="508"/>
      <c r="H12" s="508"/>
      <c r="I12" s="508"/>
      <c r="J12" s="508"/>
      <c r="K12" s="508"/>
      <c r="L12" s="508"/>
      <c r="M12" s="15"/>
    </row>
    <row r="13" spans="1:13" ht="12.75">
      <c r="A13" s="29">
        <v>1</v>
      </c>
      <c r="C13" s="20" t="s">
        <v>3972</v>
      </c>
      <c r="D13" s="210" t="s">
        <v>2909</v>
      </c>
      <c r="E13" s="210" t="s">
        <v>1784</v>
      </c>
      <c r="F13" s="210" t="s">
        <v>2910</v>
      </c>
      <c r="G13" s="210" t="s">
        <v>31</v>
      </c>
      <c r="H13" s="210" t="s">
        <v>2939</v>
      </c>
      <c r="I13" s="200" t="s">
        <v>70</v>
      </c>
      <c r="J13" s="200" t="s">
        <v>2911</v>
      </c>
      <c r="K13" s="200" t="s">
        <v>2943</v>
      </c>
      <c r="L13" s="82" t="s">
        <v>4089</v>
      </c>
      <c r="M13" s="210" t="s">
        <v>51</v>
      </c>
    </row>
    <row r="14" spans="3:13" ht="12.75">
      <c r="C14" s="15"/>
      <c r="D14" s="15"/>
      <c r="E14" s="15"/>
      <c r="F14" s="15"/>
      <c r="G14" s="15" t="s">
        <v>2102</v>
      </c>
      <c r="H14" s="15"/>
      <c r="I14" s="15"/>
      <c r="J14" s="15"/>
      <c r="K14" s="15"/>
      <c r="L14" s="15"/>
      <c r="M14" s="15"/>
    </row>
    <row r="15" spans="3:13" ht="15.75">
      <c r="C15" s="508" t="s">
        <v>66</v>
      </c>
      <c r="D15" s="508"/>
      <c r="E15" s="508"/>
      <c r="F15" s="508"/>
      <c r="G15" s="508"/>
      <c r="H15" s="508"/>
      <c r="I15" s="508"/>
      <c r="J15" s="508"/>
      <c r="K15" s="508"/>
      <c r="L15" s="508"/>
      <c r="M15" s="15"/>
    </row>
    <row r="16" spans="1:13" ht="12.75">
      <c r="A16" s="29">
        <v>1</v>
      </c>
      <c r="C16" s="20" t="s">
        <v>3973</v>
      </c>
      <c r="D16" s="210" t="s">
        <v>2912</v>
      </c>
      <c r="E16" s="210" t="s">
        <v>2913</v>
      </c>
      <c r="F16" s="210" t="s">
        <v>2914</v>
      </c>
      <c r="G16" s="210" t="s">
        <v>31</v>
      </c>
      <c r="H16" s="210" t="s">
        <v>2939</v>
      </c>
      <c r="I16" s="200" t="s">
        <v>2859</v>
      </c>
      <c r="J16" s="200" t="s">
        <v>2642</v>
      </c>
      <c r="K16" s="200" t="s">
        <v>2944</v>
      </c>
      <c r="L16" s="200" t="s">
        <v>2945</v>
      </c>
      <c r="M16" s="210" t="s">
        <v>2915</v>
      </c>
    </row>
    <row r="17" spans="3:13" ht="12.75"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3:13" ht="15.75">
      <c r="C18" s="508" t="s">
        <v>80</v>
      </c>
      <c r="D18" s="508"/>
      <c r="E18" s="508"/>
      <c r="F18" s="508"/>
      <c r="G18" s="508"/>
      <c r="H18" s="508"/>
      <c r="I18" s="508"/>
      <c r="J18" s="508"/>
      <c r="K18" s="508"/>
      <c r="L18" s="508"/>
      <c r="M18" s="15"/>
    </row>
    <row r="19" spans="1:13" ht="12.75">
      <c r="A19" s="29">
        <v>1</v>
      </c>
      <c r="C19" s="20" t="s">
        <v>3974</v>
      </c>
      <c r="D19" s="210" t="s">
        <v>2916</v>
      </c>
      <c r="E19" s="210" t="s">
        <v>2917</v>
      </c>
      <c r="F19" s="210" t="s">
        <v>2918</v>
      </c>
      <c r="G19" s="210" t="s">
        <v>31</v>
      </c>
      <c r="H19" s="210" t="s">
        <v>222</v>
      </c>
      <c r="I19" s="200" t="s">
        <v>39</v>
      </c>
      <c r="J19" s="200" t="s">
        <v>2695</v>
      </c>
      <c r="K19" s="200" t="s">
        <v>2919</v>
      </c>
      <c r="L19" s="200" t="s">
        <v>2920</v>
      </c>
      <c r="M19" s="210" t="s">
        <v>2061</v>
      </c>
    </row>
    <row r="20" spans="3:13" ht="12.75"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3:13" ht="15.75">
      <c r="C21" s="508" t="s">
        <v>18</v>
      </c>
      <c r="D21" s="508"/>
      <c r="E21" s="508"/>
      <c r="F21" s="508"/>
      <c r="G21" s="508"/>
      <c r="H21" s="508"/>
      <c r="I21" s="508"/>
      <c r="J21" s="508"/>
      <c r="K21" s="508"/>
      <c r="L21" s="508"/>
      <c r="M21" s="15"/>
    </row>
    <row r="22" spans="1:13" ht="12.75">
      <c r="A22" s="29">
        <v>1</v>
      </c>
      <c r="C22" s="20" t="s">
        <v>3975</v>
      </c>
      <c r="D22" s="210" t="s">
        <v>2922</v>
      </c>
      <c r="E22" s="210" t="s">
        <v>2523</v>
      </c>
      <c r="F22" s="210" t="s">
        <v>2923</v>
      </c>
      <c r="G22" s="210" t="s">
        <v>31</v>
      </c>
      <c r="H22" s="210" t="s">
        <v>2939</v>
      </c>
      <c r="I22" s="200" t="s">
        <v>2191</v>
      </c>
      <c r="J22" s="200" t="s">
        <v>2924</v>
      </c>
      <c r="K22" s="200" t="s">
        <v>2946</v>
      </c>
      <c r="L22" s="200" t="s">
        <v>2947</v>
      </c>
      <c r="M22" s="210" t="s">
        <v>2925</v>
      </c>
    </row>
    <row r="23" spans="3:13" ht="12.75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3:13" ht="15.75">
      <c r="C24" s="508" t="s">
        <v>42</v>
      </c>
      <c r="D24" s="508"/>
      <c r="E24" s="508"/>
      <c r="F24" s="508"/>
      <c r="G24" s="508"/>
      <c r="H24" s="508"/>
      <c r="I24" s="508"/>
      <c r="J24" s="508"/>
      <c r="K24" s="508"/>
      <c r="L24" s="508"/>
      <c r="M24" s="15"/>
    </row>
    <row r="25" spans="1:13" ht="12.75">
      <c r="A25" s="29">
        <v>1</v>
      </c>
      <c r="C25" s="17" t="s">
        <v>3977</v>
      </c>
      <c r="D25" s="88" t="s">
        <v>2785</v>
      </c>
      <c r="E25" s="88" t="s">
        <v>2446</v>
      </c>
      <c r="F25" s="88" t="s">
        <v>2786</v>
      </c>
      <c r="G25" s="88" t="s">
        <v>31</v>
      </c>
      <c r="H25" s="88" t="s">
        <v>2409</v>
      </c>
      <c r="I25" s="110" t="s">
        <v>40</v>
      </c>
      <c r="J25" s="110" t="s">
        <v>2926</v>
      </c>
      <c r="K25" s="110" t="s">
        <v>2948</v>
      </c>
      <c r="L25" s="82" t="s">
        <v>4090</v>
      </c>
      <c r="M25" s="88" t="s">
        <v>2365</v>
      </c>
    </row>
    <row r="26" spans="1:13" ht="12.75">
      <c r="A26" s="29">
        <v>2</v>
      </c>
      <c r="C26" s="18" t="s">
        <v>3978</v>
      </c>
      <c r="D26" s="93" t="s">
        <v>2928</v>
      </c>
      <c r="E26" s="93" t="s">
        <v>2929</v>
      </c>
      <c r="F26" s="93" t="s">
        <v>2930</v>
      </c>
      <c r="G26" s="93" t="s">
        <v>31</v>
      </c>
      <c r="H26" s="93" t="s">
        <v>2939</v>
      </c>
      <c r="I26" s="193" t="s">
        <v>40</v>
      </c>
      <c r="J26" s="193" t="s">
        <v>2931</v>
      </c>
      <c r="K26" s="193" t="s">
        <v>2949</v>
      </c>
      <c r="L26" s="193" t="s">
        <v>2950</v>
      </c>
      <c r="M26" s="93" t="s">
        <v>2925</v>
      </c>
    </row>
    <row r="27" spans="1:13" ht="12.75">
      <c r="A27" s="29">
        <v>3</v>
      </c>
      <c r="C27" s="19" t="s">
        <v>3976</v>
      </c>
      <c r="D27" s="95" t="s">
        <v>2932</v>
      </c>
      <c r="E27" s="95" t="s">
        <v>2933</v>
      </c>
      <c r="F27" s="95" t="s">
        <v>2934</v>
      </c>
      <c r="G27" s="95" t="s">
        <v>31</v>
      </c>
      <c r="H27" s="95" t="s">
        <v>2939</v>
      </c>
      <c r="I27" s="111" t="s">
        <v>40</v>
      </c>
      <c r="J27" s="111" t="s">
        <v>2935</v>
      </c>
      <c r="K27" s="111" t="s">
        <v>2951</v>
      </c>
      <c r="L27" s="111" t="s">
        <v>2952</v>
      </c>
      <c r="M27" s="95" t="s">
        <v>2925</v>
      </c>
    </row>
    <row r="28" spans="3:13" ht="12.75"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3:13" ht="15.75">
      <c r="C29" s="508" t="s">
        <v>164</v>
      </c>
      <c r="D29" s="508"/>
      <c r="E29" s="508"/>
      <c r="F29" s="508"/>
      <c r="G29" s="508"/>
      <c r="H29" s="508"/>
      <c r="I29" s="508"/>
      <c r="J29" s="508"/>
      <c r="K29" s="508"/>
      <c r="L29" s="508"/>
      <c r="M29" s="15"/>
    </row>
    <row r="30" spans="1:13" ht="12.75">
      <c r="A30" s="29">
        <v>1</v>
      </c>
      <c r="C30" s="20" t="s">
        <v>3979</v>
      </c>
      <c r="D30" s="210" t="s">
        <v>2936</v>
      </c>
      <c r="E30" s="210" t="s">
        <v>1864</v>
      </c>
      <c r="F30" s="210" t="s">
        <v>2937</v>
      </c>
      <c r="G30" s="210" t="s">
        <v>31</v>
      </c>
      <c r="H30" s="210" t="s">
        <v>1393</v>
      </c>
      <c r="I30" s="200" t="s">
        <v>432</v>
      </c>
      <c r="J30" s="200" t="s">
        <v>2938</v>
      </c>
      <c r="K30" s="200" t="s">
        <v>2953</v>
      </c>
      <c r="L30" s="200" t="s">
        <v>2954</v>
      </c>
      <c r="M30" s="210" t="s">
        <v>51</v>
      </c>
    </row>
    <row r="31" spans="3:13" ht="12.75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3" spans="3:7" ht="18">
      <c r="C33" s="16" t="s">
        <v>370</v>
      </c>
      <c r="D33" s="16"/>
      <c r="E33" s="15"/>
      <c r="F33" s="15"/>
      <c r="G33" s="15"/>
    </row>
    <row r="34" spans="3:7" ht="15.75">
      <c r="C34" s="22" t="s">
        <v>371</v>
      </c>
      <c r="D34" s="22"/>
      <c r="E34" s="15"/>
      <c r="F34" s="15"/>
      <c r="G34" s="15"/>
    </row>
    <row r="35" spans="3:7" ht="13.5">
      <c r="C35" s="24"/>
      <c r="D35" s="25" t="s">
        <v>2102</v>
      </c>
      <c r="E35" s="15"/>
      <c r="F35" s="15"/>
      <c r="G35" s="15"/>
    </row>
    <row r="36" spans="3:7" ht="13.5">
      <c r="C36" s="26" t="s">
        <v>373</v>
      </c>
      <c r="D36" s="26" t="s">
        <v>374</v>
      </c>
      <c r="E36" s="26" t="s">
        <v>375</v>
      </c>
      <c r="F36" s="26" t="s">
        <v>2603</v>
      </c>
      <c r="G36" s="26" t="s">
        <v>2272</v>
      </c>
    </row>
    <row r="37" spans="1:7" ht="12.75">
      <c r="A37" s="29">
        <v>1</v>
      </c>
      <c r="C37" s="90" t="s">
        <v>2908</v>
      </c>
      <c r="D37" s="104" t="s">
        <v>3189</v>
      </c>
      <c r="E37" s="104" t="s">
        <v>1646</v>
      </c>
      <c r="F37" s="82" t="s">
        <v>2943</v>
      </c>
      <c r="G37" s="82" t="s">
        <v>4089</v>
      </c>
    </row>
    <row r="38" spans="1:7" ht="12.75">
      <c r="A38" s="29">
        <v>2</v>
      </c>
      <c r="C38" s="90" t="s">
        <v>2902</v>
      </c>
      <c r="D38" s="104" t="s">
        <v>3189</v>
      </c>
      <c r="E38" s="104" t="s">
        <v>3190</v>
      </c>
      <c r="F38" s="82" t="s">
        <v>2941</v>
      </c>
      <c r="G38" s="82" t="s">
        <v>2942</v>
      </c>
    </row>
    <row r="39" spans="1:7" ht="12.75">
      <c r="A39" s="29">
        <v>3</v>
      </c>
      <c r="C39" s="90" t="s">
        <v>439</v>
      </c>
      <c r="D39" s="104" t="s">
        <v>3189</v>
      </c>
      <c r="E39" s="104" t="s">
        <v>3191</v>
      </c>
      <c r="F39" s="82" t="s">
        <v>2898</v>
      </c>
      <c r="G39" s="82" t="s">
        <v>2899</v>
      </c>
    </row>
    <row r="41" ht="15.75">
      <c r="C41" s="22" t="s">
        <v>3192</v>
      </c>
    </row>
    <row r="43" spans="3:7" ht="13.5">
      <c r="C43" s="26" t="s">
        <v>373</v>
      </c>
      <c r="D43" s="26" t="s">
        <v>374</v>
      </c>
      <c r="E43" s="26" t="s">
        <v>375</v>
      </c>
      <c r="F43" s="26" t="s">
        <v>2603</v>
      </c>
      <c r="G43" s="26" t="s">
        <v>2272</v>
      </c>
    </row>
    <row r="44" spans="1:7" ht="12.75">
      <c r="A44" s="29">
        <v>1</v>
      </c>
      <c r="C44" s="90" t="s">
        <v>2784</v>
      </c>
      <c r="D44" s="104" t="s">
        <v>3193</v>
      </c>
      <c r="E44" s="104" t="s">
        <v>2127</v>
      </c>
      <c r="F44" s="82" t="s">
        <v>2948</v>
      </c>
      <c r="G44" s="82" t="s">
        <v>4090</v>
      </c>
    </row>
    <row r="45" spans="1:7" ht="12.75">
      <c r="A45" s="29">
        <v>2</v>
      </c>
      <c r="C45" s="90" t="s">
        <v>2921</v>
      </c>
      <c r="D45" s="104" t="s">
        <v>3193</v>
      </c>
      <c r="E45" s="104" t="s">
        <v>55</v>
      </c>
      <c r="F45" s="82" t="s">
        <v>2946</v>
      </c>
      <c r="G45" s="82" t="s">
        <v>2947</v>
      </c>
    </row>
    <row r="46" spans="1:7" ht="12.75">
      <c r="A46" s="29">
        <v>3</v>
      </c>
      <c r="C46" s="90" t="s">
        <v>2927</v>
      </c>
      <c r="D46" s="104" t="s">
        <v>3193</v>
      </c>
      <c r="E46" s="104" t="s">
        <v>2127</v>
      </c>
      <c r="F46" s="82" t="s">
        <v>2949</v>
      </c>
      <c r="G46" s="82" t="s">
        <v>2950</v>
      </c>
    </row>
  </sheetData>
  <sheetProtection/>
  <mergeCells count="22">
    <mergeCell ref="A3:A4"/>
    <mergeCell ref="C3:C4"/>
    <mergeCell ref="D3:D4"/>
    <mergeCell ref="E3:E4"/>
    <mergeCell ref="F3:F4"/>
    <mergeCell ref="G3:G4"/>
    <mergeCell ref="B3:B4"/>
    <mergeCell ref="M3:M4"/>
    <mergeCell ref="C5:L5"/>
    <mergeCell ref="C9:L9"/>
    <mergeCell ref="C12:L12"/>
    <mergeCell ref="C1:M1"/>
    <mergeCell ref="C2:M2"/>
    <mergeCell ref="H3:H4"/>
    <mergeCell ref="I3:J3"/>
    <mergeCell ref="C15:L15"/>
    <mergeCell ref="C18:L18"/>
    <mergeCell ref="C21:L21"/>
    <mergeCell ref="C24:L24"/>
    <mergeCell ref="C29:L29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H32" sqref="H32"/>
    </sheetView>
  </sheetViews>
  <sheetFormatPr defaultColWidth="11.375" defaultRowHeight="12.75"/>
  <cols>
    <col min="1" max="1" width="6.875" style="0" customWidth="1"/>
    <col min="2" max="2" width="11.25390625" style="409" customWidth="1"/>
    <col min="3" max="3" width="24.625" style="0" customWidth="1"/>
    <col min="4" max="4" width="24.375" style="0" customWidth="1"/>
    <col min="5" max="5" width="8.25390625" style="0" customWidth="1"/>
    <col min="6" max="6" width="11.375" style="0" customWidth="1"/>
    <col min="7" max="7" width="15.75390625" style="0" customWidth="1"/>
    <col min="8" max="8" width="27.875" style="0" customWidth="1"/>
    <col min="9" max="10" width="10.625" style="0" customWidth="1"/>
    <col min="11" max="12" width="11.375" style="0" customWidth="1"/>
    <col min="13" max="13" width="14.625" style="0" customWidth="1"/>
  </cols>
  <sheetData>
    <row r="1" spans="1:13" ht="54" customHeight="1">
      <c r="A1" s="82"/>
      <c r="B1" s="399"/>
      <c r="C1" s="509" t="s">
        <v>2854</v>
      </c>
      <c r="D1" s="509"/>
      <c r="E1" s="509"/>
      <c r="F1" s="509"/>
      <c r="G1" s="509"/>
      <c r="H1" s="509"/>
      <c r="I1" s="509"/>
      <c r="J1" s="509"/>
      <c r="K1" s="509"/>
      <c r="L1" s="509"/>
      <c r="M1" s="509"/>
    </row>
    <row r="2" spans="1:13" ht="37.5" customHeight="1" thickBot="1">
      <c r="A2" s="82"/>
      <c r="B2" s="399"/>
      <c r="C2" s="509" t="s">
        <v>2855</v>
      </c>
      <c r="D2" s="509"/>
      <c r="E2" s="509"/>
      <c r="F2" s="509"/>
      <c r="G2" s="509"/>
      <c r="H2" s="509"/>
      <c r="I2" s="509"/>
      <c r="J2" s="509"/>
      <c r="K2" s="509"/>
      <c r="L2" s="509"/>
      <c r="M2" s="509"/>
    </row>
    <row r="3" spans="1:13" ht="19.5" customHeight="1">
      <c r="A3" s="512" t="s">
        <v>1627</v>
      </c>
      <c r="B3" s="516" t="s">
        <v>4516</v>
      </c>
      <c r="C3" s="514" t="s">
        <v>0</v>
      </c>
      <c r="D3" s="516" t="s">
        <v>2271</v>
      </c>
      <c r="E3" s="516" t="s">
        <v>1629</v>
      </c>
      <c r="F3" s="514" t="s">
        <v>2272</v>
      </c>
      <c r="G3" s="514" t="s">
        <v>7</v>
      </c>
      <c r="H3" s="514" t="s">
        <v>3275</v>
      </c>
      <c r="I3" s="514" t="s">
        <v>2</v>
      </c>
      <c r="J3" s="514"/>
      <c r="K3" s="514" t="s">
        <v>2603</v>
      </c>
      <c r="L3" s="514" t="s">
        <v>6</v>
      </c>
      <c r="M3" s="510" t="s">
        <v>5</v>
      </c>
    </row>
    <row r="4" spans="1:13" ht="15" thickBot="1">
      <c r="A4" s="513"/>
      <c r="B4" s="517"/>
      <c r="C4" s="515"/>
      <c r="D4" s="517"/>
      <c r="E4" s="517"/>
      <c r="F4" s="515"/>
      <c r="G4" s="515"/>
      <c r="H4" s="515"/>
      <c r="I4" s="457" t="s">
        <v>2604</v>
      </c>
      <c r="J4" s="457" t="s">
        <v>2605</v>
      </c>
      <c r="K4" s="515"/>
      <c r="L4" s="515"/>
      <c r="M4" s="511"/>
    </row>
    <row r="5" spans="1:13" ht="15.75">
      <c r="A5" s="29"/>
      <c r="B5" s="410"/>
      <c r="C5" s="508" t="s">
        <v>10</v>
      </c>
      <c r="D5" s="508"/>
      <c r="E5" s="508"/>
      <c r="F5" s="508"/>
      <c r="G5" s="508"/>
      <c r="H5" s="508"/>
      <c r="I5" s="508"/>
      <c r="J5" s="508"/>
      <c r="K5" s="508"/>
      <c r="L5" s="508"/>
      <c r="M5" s="15"/>
    </row>
    <row r="6" spans="1:13" ht="12.75">
      <c r="A6" s="29">
        <v>1</v>
      </c>
      <c r="B6" s="410"/>
      <c r="C6" s="20" t="s">
        <v>3980</v>
      </c>
      <c r="D6" s="210" t="s">
        <v>2856</v>
      </c>
      <c r="E6" s="210" t="s">
        <v>2857</v>
      </c>
      <c r="F6" s="210" t="s">
        <v>2858</v>
      </c>
      <c r="G6" s="210" t="s">
        <v>31</v>
      </c>
      <c r="H6" s="210" t="s">
        <v>761</v>
      </c>
      <c r="I6" s="200" t="s">
        <v>2859</v>
      </c>
      <c r="J6" s="200" t="s">
        <v>2708</v>
      </c>
      <c r="K6" s="200" t="s">
        <v>2860</v>
      </c>
      <c r="L6" s="200" t="s">
        <v>2861</v>
      </c>
      <c r="M6" s="210" t="s">
        <v>2771</v>
      </c>
    </row>
    <row r="7" spans="1:13" ht="12.75">
      <c r="A7" s="29"/>
      <c r="B7" s="410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5.75">
      <c r="A8" s="29"/>
      <c r="B8" s="410"/>
      <c r="C8" s="508" t="s">
        <v>10</v>
      </c>
      <c r="D8" s="508"/>
      <c r="E8" s="508"/>
      <c r="F8" s="508"/>
      <c r="G8" s="508"/>
      <c r="H8" s="508"/>
      <c r="I8" s="508"/>
      <c r="J8" s="508"/>
      <c r="K8" s="508"/>
      <c r="L8" s="508"/>
      <c r="M8" s="15"/>
    </row>
    <row r="9" spans="1:13" ht="12.75">
      <c r="A9" s="29">
        <v>1</v>
      </c>
      <c r="B9" s="410">
        <v>12</v>
      </c>
      <c r="C9" s="20" t="s">
        <v>3981</v>
      </c>
      <c r="D9" s="210" t="s">
        <v>2862</v>
      </c>
      <c r="E9" s="210" t="s">
        <v>2863</v>
      </c>
      <c r="F9" s="210" t="s">
        <v>2864</v>
      </c>
      <c r="G9" s="210" t="s">
        <v>2865</v>
      </c>
      <c r="H9" s="210" t="s">
        <v>2866</v>
      </c>
      <c r="I9" s="200" t="s">
        <v>2859</v>
      </c>
      <c r="J9" s="200" t="s">
        <v>2127</v>
      </c>
      <c r="K9" s="200" t="s">
        <v>2867</v>
      </c>
      <c r="L9" s="200" t="s">
        <v>2868</v>
      </c>
      <c r="M9" s="210" t="s">
        <v>2869</v>
      </c>
    </row>
    <row r="10" spans="1:13" ht="12.75">
      <c r="A10" s="29"/>
      <c r="B10" s="410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5.75">
      <c r="A11" s="29"/>
      <c r="B11" s="410"/>
      <c r="C11" s="508" t="s">
        <v>80</v>
      </c>
      <c r="D11" s="508"/>
      <c r="E11" s="508"/>
      <c r="F11" s="508"/>
      <c r="G11" s="508"/>
      <c r="H11" s="508"/>
      <c r="I11" s="508"/>
      <c r="J11" s="508"/>
      <c r="K11" s="508"/>
      <c r="L11" s="508"/>
      <c r="M11" s="15"/>
    </row>
    <row r="12" spans="1:13" ht="12.75">
      <c r="A12" s="29">
        <v>1</v>
      </c>
      <c r="B12" s="410">
        <v>12</v>
      </c>
      <c r="C12" s="20" t="s">
        <v>3982</v>
      </c>
      <c r="D12" s="210" t="s">
        <v>2871</v>
      </c>
      <c r="E12" s="210" t="s">
        <v>2872</v>
      </c>
      <c r="F12" s="210" t="s">
        <v>2873</v>
      </c>
      <c r="G12" s="210" t="s">
        <v>2865</v>
      </c>
      <c r="H12" s="210" t="s">
        <v>2866</v>
      </c>
      <c r="I12" s="200" t="s">
        <v>39</v>
      </c>
      <c r="J12" s="200" t="s">
        <v>2874</v>
      </c>
      <c r="K12" s="200" t="s">
        <v>2875</v>
      </c>
      <c r="L12" s="200" t="s">
        <v>2876</v>
      </c>
      <c r="M12" s="210" t="s">
        <v>2877</v>
      </c>
    </row>
    <row r="13" spans="1:13" ht="12.75">
      <c r="A13" s="29"/>
      <c r="B13" s="410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5.75">
      <c r="A14" s="29"/>
      <c r="B14" s="410"/>
      <c r="C14" s="508" t="s">
        <v>42</v>
      </c>
      <c r="D14" s="508"/>
      <c r="E14" s="508"/>
      <c r="F14" s="508"/>
      <c r="G14" s="508"/>
      <c r="H14" s="508"/>
      <c r="I14" s="508"/>
      <c r="J14" s="508"/>
      <c r="K14" s="508"/>
      <c r="L14" s="508"/>
      <c r="M14" s="15"/>
    </row>
    <row r="15" spans="1:13" ht="12.75">
      <c r="A15" s="29">
        <v>1</v>
      </c>
      <c r="B15" s="410">
        <v>12</v>
      </c>
      <c r="C15" s="20" t="s">
        <v>3983</v>
      </c>
      <c r="D15" s="210" t="s">
        <v>2879</v>
      </c>
      <c r="E15" s="210" t="s">
        <v>1770</v>
      </c>
      <c r="F15" s="210" t="s">
        <v>2880</v>
      </c>
      <c r="G15" s="210" t="s">
        <v>2104</v>
      </c>
      <c r="H15" s="210" t="s">
        <v>761</v>
      </c>
      <c r="I15" s="200" t="s">
        <v>40</v>
      </c>
      <c r="J15" s="200" t="s">
        <v>2881</v>
      </c>
      <c r="K15" s="200" t="s">
        <v>2882</v>
      </c>
      <c r="L15" s="200" t="s">
        <v>2883</v>
      </c>
      <c r="M15" s="210" t="s">
        <v>2884</v>
      </c>
    </row>
    <row r="16" spans="1:13" ht="12.75">
      <c r="A16" s="29"/>
      <c r="B16" s="4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5.75">
      <c r="A17" s="29"/>
      <c r="B17" s="410"/>
      <c r="C17" s="508" t="s">
        <v>116</v>
      </c>
      <c r="D17" s="508"/>
      <c r="E17" s="508"/>
      <c r="F17" s="508"/>
      <c r="G17" s="508"/>
      <c r="H17" s="508"/>
      <c r="I17" s="508"/>
      <c r="J17" s="508"/>
      <c r="K17" s="508"/>
      <c r="L17" s="508"/>
      <c r="M17" s="15"/>
    </row>
    <row r="18" spans="1:13" ht="12.75">
      <c r="A18" s="29">
        <v>1</v>
      </c>
      <c r="B18" s="410">
        <v>12</v>
      </c>
      <c r="C18" s="20" t="s">
        <v>3984</v>
      </c>
      <c r="D18" s="210" t="s">
        <v>2886</v>
      </c>
      <c r="E18" s="210" t="s">
        <v>2887</v>
      </c>
      <c r="F18" s="210" t="s">
        <v>2888</v>
      </c>
      <c r="G18" s="210" t="s">
        <v>2865</v>
      </c>
      <c r="H18" s="210" t="s">
        <v>2866</v>
      </c>
      <c r="I18" s="200" t="s">
        <v>70</v>
      </c>
      <c r="J18" s="200" t="s">
        <v>2889</v>
      </c>
      <c r="K18" s="200" t="s">
        <v>2890</v>
      </c>
      <c r="L18" s="200" t="s">
        <v>2891</v>
      </c>
      <c r="M18" s="210" t="s">
        <v>2877</v>
      </c>
    </row>
    <row r="19" spans="1:13" ht="12.75">
      <c r="A19" s="29"/>
      <c r="B19" s="4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5.75">
      <c r="A20" s="29"/>
      <c r="B20" s="410"/>
      <c r="C20" s="508" t="s">
        <v>59</v>
      </c>
      <c r="D20" s="508"/>
      <c r="E20" s="508"/>
      <c r="F20" s="508"/>
      <c r="G20" s="508"/>
      <c r="H20" s="508"/>
      <c r="I20" s="508"/>
      <c r="J20" s="508"/>
      <c r="K20" s="508"/>
      <c r="L20" s="508"/>
      <c r="M20" s="15"/>
    </row>
    <row r="21" spans="1:13" ht="12.75">
      <c r="A21" s="29">
        <v>1</v>
      </c>
      <c r="B21" s="410">
        <v>12</v>
      </c>
      <c r="C21" s="20" t="s">
        <v>3985</v>
      </c>
      <c r="D21" s="210" t="s">
        <v>2892</v>
      </c>
      <c r="E21" s="210" t="s">
        <v>1896</v>
      </c>
      <c r="F21" s="210" t="s">
        <v>2893</v>
      </c>
      <c r="G21" s="210" t="s">
        <v>2865</v>
      </c>
      <c r="H21" s="210" t="s">
        <v>2866</v>
      </c>
      <c r="I21" s="200" t="s">
        <v>70</v>
      </c>
      <c r="J21" s="200" t="s">
        <v>2894</v>
      </c>
      <c r="K21" s="200" t="s">
        <v>2895</v>
      </c>
      <c r="L21" s="200" t="s">
        <v>2896</v>
      </c>
      <c r="M21" s="210" t="s">
        <v>2869</v>
      </c>
    </row>
    <row r="22" spans="1:13" ht="12.75">
      <c r="A22" s="29"/>
      <c r="B22" s="4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8">
      <c r="A23" s="29"/>
      <c r="B23" s="410"/>
      <c r="C23" s="16" t="s">
        <v>370</v>
      </c>
      <c r="D23" s="16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5.75">
      <c r="A24" s="29"/>
      <c r="B24" s="410"/>
      <c r="C24" s="22" t="s">
        <v>387</v>
      </c>
      <c r="D24" s="22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3.5">
      <c r="A25" s="29"/>
      <c r="B25" s="410"/>
      <c r="C25" s="24"/>
      <c r="D25" s="25" t="s">
        <v>2102</v>
      </c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3.5">
      <c r="A26" s="29"/>
      <c r="B26" s="410"/>
      <c r="C26" s="26" t="s">
        <v>373</v>
      </c>
      <c r="D26" s="181" t="s">
        <v>374</v>
      </c>
      <c r="E26" s="181" t="s">
        <v>375</v>
      </c>
      <c r="F26" s="181" t="s">
        <v>2603</v>
      </c>
      <c r="G26" s="181" t="s">
        <v>2319</v>
      </c>
      <c r="H26" s="15"/>
      <c r="I26" s="15"/>
      <c r="J26" s="15"/>
      <c r="K26" s="15"/>
      <c r="L26" s="15"/>
      <c r="M26" s="15"/>
    </row>
    <row r="27" spans="1:13" ht="12.75">
      <c r="A27" s="29">
        <v>1</v>
      </c>
      <c r="B27" s="410"/>
      <c r="C27" s="90" t="s">
        <v>2878</v>
      </c>
      <c r="D27" s="49" t="s">
        <v>2435</v>
      </c>
      <c r="E27" s="49" t="s">
        <v>383</v>
      </c>
      <c r="F27" s="49" t="s">
        <v>2882</v>
      </c>
      <c r="G27" s="50" t="s">
        <v>2883</v>
      </c>
      <c r="H27" s="15"/>
      <c r="I27" s="15"/>
      <c r="J27" s="15"/>
      <c r="K27" s="15"/>
      <c r="L27" s="15"/>
      <c r="M27" s="15"/>
    </row>
    <row r="28" spans="1:13" ht="12.75">
      <c r="A28" s="29">
        <v>2</v>
      </c>
      <c r="B28" s="410"/>
      <c r="C28" s="90" t="s">
        <v>2870</v>
      </c>
      <c r="D28" s="49" t="s">
        <v>2435</v>
      </c>
      <c r="E28" s="49" t="s">
        <v>764</v>
      </c>
      <c r="F28" s="49" t="s">
        <v>2875</v>
      </c>
      <c r="G28" s="50" t="s">
        <v>2876</v>
      </c>
      <c r="H28" s="15"/>
      <c r="I28" s="15"/>
      <c r="J28" s="15"/>
      <c r="K28" s="15"/>
      <c r="L28" s="15"/>
      <c r="M28" s="15"/>
    </row>
    <row r="29" spans="1:13" ht="12.75">
      <c r="A29" s="29">
        <v>3</v>
      </c>
      <c r="B29" s="410"/>
      <c r="C29" s="90" t="s">
        <v>2885</v>
      </c>
      <c r="D29" s="49" t="s">
        <v>2435</v>
      </c>
      <c r="E29" s="49" t="s">
        <v>1646</v>
      </c>
      <c r="F29" s="49" t="s">
        <v>2890</v>
      </c>
      <c r="G29" s="50" t="s">
        <v>2891</v>
      </c>
      <c r="H29" s="15"/>
      <c r="I29" s="15"/>
      <c r="J29" s="15"/>
      <c r="K29" s="15"/>
      <c r="L29" s="15"/>
      <c r="M29" s="15"/>
    </row>
    <row r="30" spans="1:13" ht="12.75">
      <c r="A30" s="29"/>
      <c r="B30" s="41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12.75">
      <c r="A31" s="29"/>
      <c r="B31" s="4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2.75">
      <c r="A32" s="29"/>
      <c r="B32" s="4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2.75">
      <c r="A33" s="29"/>
      <c r="B33" s="41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</sheetData>
  <sheetProtection/>
  <mergeCells count="20">
    <mergeCell ref="B3:B4"/>
    <mergeCell ref="M3:M4"/>
    <mergeCell ref="C5:L5"/>
    <mergeCell ref="C1:M1"/>
    <mergeCell ref="C2:M2"/>
    <mergeCell ref="A3:A4"/>
    <mergeCell ref="C3:C4"/>
    <mergeCell ref="D3:D4"/>
    <mergeCell ref="E3:E4"/>
    <mergeCell ref="F3:F4"/>
    <mergeCell ref="G3:G4"/>
    <mergeCell ref="C8:L8"/>
    <mergeCell ref="C11:L11"/>
    <mergeCell ref="C14:L14"/>
    <mergeCell ref="C17:L17"/>
    <mergeCell ref="C20:L20"/>
    <mergeCell ref="H3:H4"/>
    <mergeCell ref="I3:J3"/>
    <mergeCell ref="K3:K4"/>
    <mergeCell ref="L3:L4"/>
  </mergeCells>
  <printOptions/>
  <pageMargins left="0.75" right="0.75" top="1" bottom="1" header="0.5" footer="0.5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2">
      <selection activeCell="C2" sqref="C2:M2"/>
    </sheetView>
  </sheetViews>
  <sheetFormatPr defaultColWidth="11.375" defaultRowHeight="12.75"/>
  <cols>
    <col min="1" max="1" width="7.375" style="29" customWidth="1"/>
    <col min="2" max="2" width="12.75390625" style="410" customWidth="1"/>
    <col min="3" max="3" width="25.125" style="0" customWidth="1"/>
    <col min="4" max="4" width="27.00390625" style="0" customWidth="1"/>
    <col min="5" max="6" width="11.375" style="0" customWidth="1"/>
    <col min="7" max="7" width="21.625" style="0" customWidth="1"/>
    <col min="8" max="8" width="32.25390625" style="0" customWidth="1"/>
    <col min="9" max="10" width="9.125" style="0" customWidth="1"/>
    <col min="11" max="11" width="9.00390625" style="0" customWidth="1"/>
    <col min="12" max="12" width="11.375" style="413" customWidth="1"/>
    <col min="13" max="13" width="19.25390625" style="0" customWidth="1"/>
  </cols>
  <sheetData>
    <row r="1" spans="1:13" ht="57.75" customHeight="1">
      <c r="A1" s="82"/>
      <c r="B1" s="399"/>
      <c r="C1" s="509" t="s">
        <v>2777</v>
      </c>
      <c r="D1" s="509"/>
      <c r="E1" s="509"/>
      <c r="F1" s="509"/>
      <c r="G1" s="509"/>
      <c r="H1" s="509"/>
      <c r="I1" s="509"/>
      <c r="J1" s="509"/>
      <c r="K1" s="509"/>
      <c r="L1" s="509"/>
      <c r="M1" s="509"/>
    </row>
    <row r="2" spans="1:13" ht="30" thickBot="1">
      <c r="A2" s="82"/>
      <c r="B2" s="399"/>
      <c r="C2" s="509" t="s">
        <v>2322</v>
      </c>
      <c r="D2" s="509"/>
      <c r="E2" s="509"/>
      <c r="F2" s="509"/>
      <c r="G2" s="509"/>
      <c r="H2" s="509"/>
      <c r="I2" s="509"/>
      <c r="J2" s="509"/>
      <c r="K2" s="509"/>
      <c r="L2" s="509"/>
      <c r="M2" s="509"/>
    </row>
    <row r="3" spans="1:13" ht="30.75" customHeight="1">
      <c r="A3" s="512" t="s">
        <v>1627</v>
      </c>
      <c r="B3" s="516" t="s">
        <v>4516</v>
      </c>
      <c r="C3" s="514" t="s">
        <v>0</v>
      </c>
      <c r="D3" s="516" t="s">
        <v>2271</v>
      </c>
      <c r="E3" s="516" t="s">
        <v>1629</v>
      </c>
      <c r="F3" s="514" t="s">
        <v>2272</v>
      </c>
      <c r="G3" s="514" t="s">
        <v>7</v>
      </c>
      <c r="H3" s="514" t="s">
        <v>3275</v>
      </c>
      <c r="I3" s="514" t="s">
        <v>2</v>
      </c>
      <c r="J3" s="514"/>
      <c r="K3" s="514" t="s">
        <v>2603</v>
      </c>
      <c r="L3" s="555" t="s">
        <v>6</v>
      </c>
      <c r="M3" s="510" t="s">
        <v>5</v>
      </c>
    </row>
    <row r="4" spans="1:13" ht="15" thickBot="1">
      <c r="A4" s="513"/>
      <c r="B4" s="517"/>
      <c r="C4" s="515"/>
      <c r="D4" s="517"/>
      <c r="E4" s="517"/>
      <c r="F4" s="515"/>
      <c r="G4" s="515"/>
      <c r="H4" s="515"/>
      <c r="I4" s="457" t="s">
        <v>2604</v>
      </c>
      <c r="J4" s="457" t="s">
        <v>2605</v>
      </c>
      <c r="K4" s="515"/>
      <c r="L4" s="556"/>
      <c r="M4" s="511"/>
    </row>
    <row r="5" spans="1:13" ht="15.75">
      <c r="A5" s="50"/>
      <c r="B5" s="402"/>
      <c r="C5" s="508" t="s">
        <v>18</v>
      </c>
      <c r="D5" s="508"/>
      <c r="E5" s="508"/>
      <c r="F5" s="508"/>
      <c r="G5" s="508"/>
      <c r="H5" s="508"/>
      <c r="I5" s="508"/>
      <c r="J5" s="508"/>
      <c r="K5" s="508"/>
      <c r="L5" s="508"/>
      <c r="M5" s="89"/>
    </row>
    <row r="6" spans="1:13" ht="12.75">
      <c r="A6" s="50" t="s">
        <v>2208</v>
      </c>
      <c r="B6" s="402"/>
      <c r="C6" s="187" t="s">
        <v>3986</v>
      </c>
      <c r="D6" s="188" t="s">
        <v>2778</v>
      </c>
      <c r="E6" s="188" t="s">
        <v>2779</v>
      </c>
      <c r="F6" s="189" t="s">
        <v>2780</v>
      </c>
      <c r="G6" s="188" t="s">
        <v>31</v>
      </c>
      <c r="H6" s="188" t="s">
        <v>1225</v>
      </c>
      <c r="I6" s="110" t="s">
        <v>424</v>
      </c>
      <c r="J6" s="110" t="s">
        <v>15</v>
      </c>
      <c r="K6" s="110" t="s">
        <v>3194</v>
      </c>
      <c r="L6" s="251" t="s">
        <v>3224</v>
      </c>
      <c r="M6" s="188" t="s">
        <v>51</v>
      </c>
    </row>
    <row r="7" spans="1:13" ht="12.75">
      <c r="A7" s="50" t="s">
        <v>2209</v>
      </c>
      <c r="B7" s="402" t="s">
        <v>3493</v>
      </c>
      <c r="C7" s="194" t="s">
        <v>3987</v>
      </c>
      <c r="D7" s="195" t="s">
        <v>1611</v>
      </c>
      <c r="E7" s="195" t="s">
        <v>2781</v>
      </c>
      <c r="F7" s="196" t="s">
        <v>2782</v>
      </c>
      <c r="G7" s="195" t="s">
        <v>99</v>
      </c>
      <c r="H7" s="195" t="s">
        <v>152</v>
      </c>
      <c r="I7" s="111" t="s">
        <v>95</v>
      </c>
      <c r="J7" s="111" t="s">
        <v>2783</v>
      </c>
      <c r="K7" s="111" t="s">
        <v>3195</v>
      </c>
      <c r="L7" s="254" t="s">
        <v>3225</v>
      </c>
      <c r="M7" s="195" t="s">
        <v>2052</v>
      </c>
    </row>
    <row r="8" spans="1:13" ht="12.75">
      <c r="A8" s="50"/>
      <c r="B8" s="402"/>
      <c r="C8" s="197"/>
      <c r="D8" s="89"/>
      <c r="E8" s="89"/>
      <c r="F8" s="49"/>
      <c r="G8" s="89"/>
      <c r="H8" s="89"/>
      <c r="I8" s="49"/>
      <c r="J8" s="49"/>
      <c r="K8" s="197"/>
      <c r="L8" s="411"/>
      <c r="M8" s="89"/>
    </row>
    <row r="9" spans="1:13" ht="15.75">
      <c r="A9" s="50"/>
      <c r="B9" s="402"/>
      <c r="C9" s="508" t="s">
        <v>42</v>
      </c>
      <c r="D9" s="508"/>
      <c r="E9" s="508"/>
      <c r="F9" s="508"/>
      <c r="G9" s="508"/>
      <c r="H9" s="508"/>
      <c r="I9" s="508"/>
      <c r="J9" s="508"/>
      <c r="K9" s="508"/>
      <c r="L9" s="508"/>
      <c r="M9" s="89"/>
    </row>
    <row r="10" spans="1:13" ht="12.75">
      <c r="A10" s="50" t="s">
        <v>2208</v>
      </c>
      <c r="B10" s="402"/>
      <c r="C10" s="187" t="s">
        <v>3988</v>
      </c>
      <c r="D10" s="188" t="s">
        <v>2785</v>
      </c>
      <c r="E10" s="188" t="s">
        <v>2446</v>
      </c>
      <c r="F10" s="189" t="s">
        <v>2786</v>
      </c>
      <c r="G10" s="188" t="s">
        <v>31</v>
      </c>
      <c r="H10" s="188" t="s">
        <v>2409</v>
      </c>
      <c r="I10" s="110" t="s">
        <v>56</v>
      </c>
      <c r="J10" s="110" t="s">
        <v>2787</v>
      </c>
      <c r="K10" s="110" t="s">
        <v>3196</v>
      </c>
      <c r="L10" s="251" t="s">
        <v>3226</v>
      </c>
      <c r="M10" s="188" t="s">
        <v>2365</v>
      </c>
    </row>
    <row r="11" spans="1:13" ht="12.75">
      <c r="A11" s="50" t="s">
        <v>2208</v>
      </c>
      <c r="B11" s="402" t="s">
        <v>2708</v>
      </c>
      <c r="C11" s="190" t="s">
        <v>3989</v>
      </c>
      <c r="D11" s="191" t="s">
        <v>2794</v>
      </c>
      <c r="E11" s="191" t="s">
        <v>2795</v>
      </c>
      <c r="F11" s="192" t="s">
        <v>2796</v>
      </c>
      <c r="G11" s="191" t="s">
        <v>125</v>
      </c>
      <c r="H11" s="191" t="s">
        <v>1903</v>
      </c>
      <c r="I11" s="193" t="s">
        <v>57</v>
      </c>
      <c r="J11" s="193" t="s">
        <v>94</v>
      </c>
      <c r="K11" s="193" t="s">
        <v>3197</v>
      </c>
      <c r="L11" s="414" t="s">
        <v>3227</v>
      </c>
      <c r="M11" s="191" t="s">
        <v>1686</v>
      </c>
    </row>
    <row r="12" spans="1:13" ht="12.75">
      <c r="A12" s="50" t="s">
        <v>2209</v>
      </c>
      <c r="B12" s="402"/>
      <c r="C12" s="190" t="s">
        <v>3990</v>
      </c>
      <c r="D12" s="191" t="s">
        <v>2788</v>
      </c>
      <c r="E12" s="191" t="s">
        <v>2789</v>
      </c>
      <c r="F12" s="192" t="s">
        <v>2790</v>
      </c>
      <c r="G12" s="191" t="s">
        <v>31</v>
      </c>
      <c r="H12" s="191" t="s">
        <v>1903</v>
      </c>
      <c r="I12" s="193" t="s">
        <v>416</v>
      </c>
      <c r="J12" s="193" t="s">
        <v>2791</v>
      </c>
      <c r="K12" s="193" t="s">
        <v>3198</v>
      </c>
      <c r="L12" s="414" t="s">
        <v>3228</v>
      </c>
      <c r="M12" s="191" t="s">
        <v>1840</v>
      </c>
    </row>
    <row r="13" spans="1:13" ht="12.75">
      <c r="A13" s="50" t="s">
        <v>2210</v>
      </c>
      <c r="B13" s="402" t="s">
        <v>3391</v>
      </c>
      <c r="C13" s="190" t="s">
        <v>3991</v>
      </c>
      <c r="D13" s="191" t="s">
        <v>566</v>
      </c>
      <c r="E13" s="191" t="s">
        <v>2012</v>
      </c>
      <c r="F13" s="192" t="s">
        <v>2630</v>
      </c>
      <c r="G13" s="191" t="s">
        <v>4512</v>
      </c>
      <c r="H13" s="191" t="s">
        <v>302</v>
      </c>
      <c r="I13" s="193" t="s">
        <v>57</v>
      </c>
      <c r="J13" s="193" t="s">
        <v>2792</v>
      </c>
      <c r="K13" s="193" t="s">
        <v>3199</v>
      </c>
      <c r="L13" s="414" t="s">
        <v>3229</v>
      </c>
      <c r="M13" s="191" t="s">
        <v>2071</v>
      </c>
    </row>
    <row r="14" spans="1:13" ht="12.75">
      <c r="A14" s="50" t="s">
        <v>2208</v>
      </c>
      <c r="B14" s="402"/>
      <c r="C14" s="194" t="s">
        <v>3992</v>
      </c>
      <c r="D14" s="195" t="s">
        <v>2798</v>
      </c>
      <c r="E14" s="195" t="s">
        <v>57</v>
      </c>
      <c r="F14" s="196" t="s">
        <v>2799</v>
      </c>
      <c r="G14" s="195" t="s">
        <v>31</v>
      </c>
      <c r="H14" s="195" t="s">
        <v>2800</v>
      </c>
      <c r="I14" s="111" t="s">
        <v>57</v>
      </c>
      <c r="J14" s="111" t="s">
        <v>2801</v>
      </c>
      <c r="K14" s="111" t="s">
        <v>3200</v>
      </c>
      <c r="L14" s="254" t="s">
        <v>3230</v>
      </c>
      <c r="M14" s="195" t="s">
        <v>51</v>
      </c>
    </row>
    <row r="15" spans="1:13" ht="12.75">
      <c r="A15" s="50"/>
      <c r="B15" s="402"/>
      <c r="C15" s="197"/>
      <c r="D15" s="89"/>
      <c r="E15" s="89"/>
      <c r="F15" s="49"/>
      <c r="G15" s="89"/>
      <c r="H15" s="89"/>
      <c r="I15" s="49"/>
      <c r="J15" s="49"/>
      <c r="K15" s="197"/>
      <c r="L15" s="411"/>
      <c r="M15" s="89"/>
    </row>
    <row r="16" spans="1:13" ht="15.75">
      <c r="A16" s="50"/>
      <c r="B16" s="402"/>
      <c r="C16" s="508" t="s">
        <v>116</v>
      </c>
      <c r="D16" s="508"/>
      <c r="E16" s="508"/>
      <c r="F16" s="508"/>
      <c r="G16" s="508"/>
      <c r="H16" s="508"/>
      <c r="I16" s="508"/>
      <c r="J16" s="508"/>
      <c r="K16" s="508"/>
      <c r="L16" s="508"/>
      <c r="M16" s="89"/>
    </row>
    <row r="17" spans="1:13" ht="12.75">
      <c r="A17" s="50" t="s">
        <v>2208</v>
      </c>
      <c r="B17" s="402"/>
      <c r="C17" s="187" t="s">
        <v>3993</v>
      </c>
      <c r="D17" s="188" t="s">
        <v>2802</v>
      </c>
      <c r="E17" s="188" t="s">
        <v>1978</v>
      </c>
      <c r="F17" s="189" t="s">
        <v>2803</v>
      </c>
      <c r="G17" s="188" t="s">
        <v>31</v>
      </c>
      <c r="H17" s="188" t="s">
        <v>1225</v>
      </c>
      <c r="I17" s="110" t="s">
        <v>513</v>
      </c>
      <c r="J17" s="110" t="s">
        <v>2804</v>
      </c>
      <c r="K17" s="110" t="s">
        <v>3201</v>
      </c>
      <c r="L17" s="251" t="s">
        <v>3231</v>
      </c>
      <c r="M17" s="188" t="s">
        <v>51</v>
      </c>
    </row>
    <row r="18" spans="1:13" ht="12.75">
      <c r="A18" s="50" t="s">
        <v>2208</v>
      </c>
      <c r="B18" s="402"/>
      <c r="C18" s="190" t="s">
        <v>3994</v>
      </c>
      <c r="D18" s="191" t="s">
        <v>607</v>
      </c>
      <c r="E18" s="191" t="s">
        <v>2805</v>
      </c>
      <c r="F18" s="192" t="s">
        <v>2806</v>
      </c>
      <c r="G18" s="191" t="s">
        <v>31</v>
      </c>
      <c r="H18" s="191" t="s">
        <v>267</v>
      </c>
      <c r="I18" s="193" t="s">
        <v>666</v>
      </c>
      <c r="J18" s="193" t="s">
        <v>2807</v>
      </c>
      <c r="K18" s="193" t="s">
        <v>3202</v>
      </c>
      <c r="L18" s="414" t="s">
        <v>3232</v>
      </c>
      <c r="M18" s="191" t="s">
        <v>51</v>
      </c>
    </row>
    <row r="19" spans="1:13" ht="12.75">
      <c r="A19" s="50" t="s">
        <v>2208</v>
      </c>
      <c r="B19" s="402"/>
      <c r="C19" s="194" t="s">
        <v>3995</v>
      </c>
      <c r="D19" s="195" t="s">
        <v>2808</v>
      </c>
      <c r="E19" s="195" t="s">
        <v>2809</v>
      </c>
      <c r="F19" s="196" t="s">
        <v>2810</v>
      </c>
      <c r="G19" s="195" t="s">
        <v>31</v>
      </c>
      <c r="H19" s="195" t="s">
        <v>1903</v>
      </c>
      <c r="I19" s="111" t="s">
        <v>513</v>
      </c>
      <c r="J19" s="111" t="s">
        <v>2804</v>
      </c>
      <c r="K19" s="111" t="s">
        <v>3201</v>
      </c>
      <c r="L19" s="254" t="s">
        <v>3233</v>
      </c>
      <c r="M19" s="195" t="s">
        <v>51</v>
      </c>
    </row>
    <row r="20" spans="1:13" ht="12.75">
      <c r="A20" s="50"/>
      <c r="B20" s="402"/>
      <c r="C20" s="197"/>
      <c r="D20" s="89"/>
      <c r="E20" s="89"/>
      <c r="F20" s="49"/>
      <c r="G20" s="89"/>
      <c r="H20" s="89"/>
      <c r="I20" s="49"/>
      <c r="J20" s="49"/>
      <c r="K20" s="197"/>
      <c r="L20" s="411"/>
      <c r="M20" s="89"/>
    </row>
    <row r="21" spans="1:13" ht="15.75">
      <c r="A21" s="50"/>
      <c r="B21" s="402"/>
      <c r="C21" s="526" t="s">
        <v>59</v>
      </c>
      <c r="D21" s="526"/>
      <c r="E21" s="526"/>
      <c r="F21" s="526"/>
      <c r="G21" s="526"/>
      <c r="H21" s="526"/>
      <c r="I21" s="526"/>
      <c r="J21" s="526"/>
      <c r="K21" s="526"/>
      <c r="L21" s="526"/>
      <c r="M21" s="89"/>
    </row>
    <row r="22" spans="1:13" ht="12.75">
      <c r="A22" s="50" t="s">
        <v>2208</v>
      </c>
      <c r="B22" s="402"/>
      <c r="C22" s="224" t="s">
        <v>3996</v>
      </c>
      <c r="D22" s="187" t="s">
        <v>2815</v>
      </c>
      <c r="E22" s="225" t="s">
        <v>2021</v>
      </c>
      <c r="F22" s="264" t="s">
        <v>2816</v>
      </c>
      <c r="G22" s="225" t="s">
        <v>31</v>
      </c>
      <c r="H22" s="187" t="s">
        <v>3274</v>
      </c>
      <c r="I22" s="87" t="s">
        <v>49</v>
      </c>
      <c r="J22" s="35" t="s">
        <v>15</v>
      </c>
      <c r="K22" s="87" t="s">
        <v>3203</v>
      </c>
      <c r="L22" s="415" t="s">
        <v>3234</v>
      </c>
      <c r="M22" s="188" t="s">
        <v>51</v>
      </c>
    </row>
    <row r="23" spans="1:13" ht="12.75">
      <c r="A23" s="50" t="s">
        <v>2209</v>
      </c>
      <c r="B23" s="402"/>
      <c r="C23" s="226" t="s">
        <v>3997</v>
      </c>
      <c r="D23" s="190" t="s">
        <v>2817</v>
      </c>
      <c r="E23" s="223" t="s">
        <v>1923</v>
      </c>
      <c r="F23" s="258" t="s">
        <v>2818</v>
      </c>
      <c r="G23" s="223" t="s">
        <v>31</v>
      </c>
      <c r="H23" s="190" t="s">
        <v>347</v>
      </c>
      <c r="I23" s="82" t="s">
        <v>49</v>
      </c>
      <c r="J23" s="38" t="s">
        <v>2819</v>
      </c>
      <c r="K23" s="82" t="s">
        <v>3204</v>
      </c>
      <c r="L23" s="423" t="s">
        <v>3235</v>
      </c>
      <c r="M23" s="191" t="s">
        <v>51</v>
      </c>
    </row>
    <row r="24" spans="1:13" ht="12.75">
      <c r="A24" s="50" t="s">
        <v>2210</v>
      </c>
      <c r="B24" s="402"/>
      <c r="C24" s="226" t="s">
        <v>3998</v>
      </c>
      <c r="D24" s="190" t="s">
        <v>2811</v>
      </c>
      <c r="E24" s="223" t="s">
        <v>2812</v>
      </c>
      <c r="F24" s="258" t="s">
        <v>2813</v>
      </c>
      <c r="G24" s="223" t="s">
        <v>31</v>
      </c>
      <c r="H24" s="190" t="s">
        <v>1903</v>
      </c>
      <c r="I24" s="82" t="s">
        <v>32</v>
      </c>
      <c r="J24" s="38" t="s">
        <v>2787</v>
      </c>
      <c r="K24" s="82" t="s">
        <v>3205</v>
      </c>
      <c r="L24" s="423" t="s">
        <v>3236</v>
      </c>
      <c r="M24" s="191" t="s">
        <v>51</v>
      </c>
    </row>
    <row r="25" spans="1:13" ht="12.75">
      <c r="A25" s="50" t="s">
        <v>2211</v>
      </c>
      <c r="B25" s="402" t="s">
        <v>2214</v>
      </c>
      <c r="C25" s="226" t="s">
        <v>2402</v>
      </c>
      <c r="D25" s="190" t="s">
        <v>2403</v>
      </c>
      <c r="E25" s="223" t="s">
        <v>1901</v>
      </c>
      <c r="F25" s="258" t="s">
        <v>2404</v>
      </c>
      <c r="G25" s="223" t="s">
        <v>54</v>
      </c>
      <c r="H25" s="190" t="s">
        <v>1695</v>
      </c>
      <c r="I25" s="82" t="s">
        <v>49</v>
      </c>
      <c r="J25" s="38" t="s">
        <v>2814</v>
      </c>
      <c r="K25" s="82" t="s">
        <v>3206</v>
      </c>
      <c r="L25" s="423" t="s">
        <v>3239</v>
      </c>
      <c r="M25" s="191" t="s">
        <v>51</v>
      </c>
    </row>
    <row r="26" spans="1:13" ht="12.75">
      <c r="A26" s="50" t="s">
        <v>2208</v>
      </c>
      <c r="B26" s="402"/>
      <c r="C26" s="226" t="s">
        <v>3999</v>
      </c>
      <c r="D26" s="190" t="s">
        <v>2823</v>
      </c>
      <c r="E26" s="223" t="s">
        <v>2660</v>
      </c>
      <c r="F26" s="258" t="s">
        <v>2292</v>
      </c>
      <c r="G26" s="223" t="s">
        <v>31</v>
      </c>
      <c r="H26" s="190" t="s">
        <v>347</v>
      </c>
      <c r="I26" s="82" t="s">
        <v>49</v>
      </c>
      <c r="J26" s="38" t="s">
        <v>506</v>
      </c>
      <c r="K26" s="82" t="s">
        <v>3207</v>
      </c>
      <c r="L26" s="423" t="s">
        <v>3237</v>
      </c>
      <c r="M26" s="191" t="s">
        <v>2068</v>
      </c>
    </row>
    <row r="27" spans="1:13" ht="12.75">
      <c r="A27" s="50" t="s">
        <v>2209</v>
      </c>
      <c r="B27" s="402"/>
      <c r="C27" s="227" t="s">
        <v>2820</v>
      </c>
      <c r="D27" s="194" t="s">
        <v>2821</v>
      </c>
      <c r="E27" s="228" t="s">
        <v>1792</v>
      </c>
      <c r="F27" s="265" t="s">
        <v>2822</v>
      </c>
      <c r="G27" s="228" t="s">
        <v>31</v>
      </c>
      <c r="H27" s="194" t="s">
        <v>1559</v>
      </c>
      <c r="I27" s="100" t="s">
        <v>32</v>
      </c>
      <c r="J27" s="41" t="s">
        <v>2814</v>
      </c>
      <c r="K27" s="100" t="s">
        <v>3208</v>
      </c>
      <c r="L27" s="424" t="s">
        <v>3238</v>
      </c>
      <c r="M27" s="195" t="s">
        <v>1835</v>
      </c>
    </row>
    <row r="28" spans="1:13" ht="12.75">
      <c r="A28" s="50"/>
      <c r="B28" s="402"/>
      <c r="C28" s="197"/>
      <c r="D28" s="89"/>
      <c r="E28" s="89"/>
      <c r="F28" s="49"/>
      <c r="G28" s="89"/>
      <c r="H28" s="89"/>
      <c r="I28" s="49"/>
      <c r="J28" s="49"/>
      <c r="K28" s="197"/>
      <c r="L28" s="411"/>
      <c r="M28" s="89"/>
    </row>
    <row r="29" spans="1:13" ht="15.75">
      <c r="A29" s="50"/>
      <c r="B29" s="402"/>
      <c r="C29" s="526" t="s">
        <v>164</v>
      </c>
      <c r="D29" s="526"/>
      <c r="E29" s="526"/>
      <c r="F29" s="526"/>
      <c r="G29" s="526"/>
      <c r="H29" s="526"/>
      <c r="I29" s="526"/>
      <c r="J29" s="526"/>
      <c r="K29" s="526"/>
      <c r="L29" s="526"/>
      <c r="M29" s="89"/>
    </row>
    <row r="30" spans="1:13" ht="12.75">
      <c r="A30" s="50" t="s">
        <v>2208</v>
      </c>
      <c r="B30" s="402" t="s">
        <v>3489</v>
      </c>
      <c r="C30" s="224" t="s">
        <v>4000</v>
      </c>
      <c r="D30" s="187" t="s">
        <v>2829</v>
      </c>
      <c r="E30" s="225" t="s">
        <v>2576</v>
      </c>
      <c r="F30" s="264" t="s">
        <v>2577</v>
      </c>
      <c r="G30" s="225" t="s">
        <v>125</v>
      </c>
      <c r="H30" s="187" t="s">
        <v>697</v>
      </c>
      <c r="I30" s="87" t="s">
        <v>451</v>
      </c>
      <c r="J30" s="35" t="s">
        <v>2830</v>
      </c>
      <c r="K30" s="87" t="s">
        <v>3209</v>
      </c>
      <c r="L30" s="287" t="s">
        <v>4092</v>
      </c>
      <c r="M30" s="188" t="s">
        <v>2079</v>
      </c>
    </row>
    <row r="31" spans="1:13" ht="12.75">
      <c r="A31" s="50" t="s">
        <v>2209</v>
      </c>
      <c r="B31" s="402" t="s">
        <v>2614</v>
      </c>
      <c r="C31" s="226" t="s">
        <v>4001</v>
      </c>
      <c r="D31" s="190" t="s">
        <v>2827</v>
      </c>
      <c r="E31" s="223" t="s">
        <v>2693</v>
      </c>
      <c r="F31" s="258" t="s">
        <v>2694</v>
      </c>
      <c r="G31" s="223" t="s">
        <v>125</v>
      </c>
      <c r="H31" s="190" t="s">
        <v>1903</v>
      </c>
      <c r="I31" s="82" t="s">
        <v>33</v>
      </c>
      <c r="J31" s="38" t="s">
        <v>39</v>
      </c>
      <c r="K31" s="82" t="s">
        <v>2776</v>
      </c>
      <c r="L31" s="423" t="s">
        <v>3240</v>
      </c>
      <c r="M31" s="191" t="s">
        <v>2828</v>
      </c>
    </row>
    <row r="32" spans="1:13" ht="12.75">
      <c r="A32" s="50" t="s">
        <v>2210</v>
      </c>
      <c r="B32" s="402" t="s">
        <v>2215</v>
      </c>
      <c r="C32" s="226" t="s">
        <v>4002</v>
      </c>
      <c r="D32" s="190" t="s">
        <v>672</v>
      </c>
      <c r="E32" s="223" t="s">
        <v>2824</v>
      </c>
      <c r="F32" s="258" t="s">
        <v>2825</v>
      </c>
      <c r="G32" s="223" t="s">
        <v>125</v>
      </c>
      <c r="H32" s="190" t="s">
        <v>267</v>
      </c>
      <c r="I32" s="82" t="s">
        <v>33</v>
      </c>
      <c r="J32" s="38" t="s">
        <v>2826</v>
      </c>
      <c r="K32" s="82" t="s">
        <v>3210</v>
      </c>
      <c r="L32" s="423" t="s">
        <v>3241</v>
      </c>
      <c r="M32" s="191" t="s">
        <v>674</v>
      </c>
    </row>
    <row r="33" spans="1:13" ht="12.75">
      <c r="A33" s="50" t="s">
        <v>2208</v>
      </c>
      <c r="B33" s="402" t="s">
        <v>3489</v>
      </c>
      <c r="C33" s="226" t="s">
        <v>4000</v>
      </c>
      <c r="D33" s="190" t="s">
        <v>2831</v>
      </c>
      <c r="E33" s="223" t="s">
        <v>2576</v>
      </c>
      <c r="F33" s="258" t="s">
        <v>2577</v>
      </c>
      <c r="G33" s="223" t="s">
        <v>125</v>
      </c>
      <c r="H33" s="190" t="s">
        <v>697</v>
      </c>
      <c r="I33" s="82" t="s">
        <v>451</v>
      </c>
      <c r="J33" s="38" t="s">
        <v>2830</v>
      </c>
      <c r="K33" s="82" t="s">
        <v>3209</v>
      </c>
      <c r="L33" s="423" t="s">
        <v>3242</v>
      </c>
      <c r="M33" s="191" t="s">
        <v>2079</v>
      </c>
    </row>
    <row r="34" spans="1:13" ht="12.75">
      <c r="A34" s="50"/>
      <c r="B34" s="402"/>
      <c r="C34" s="227" t="s">
        <v>2832</v>
      </c>
      <c r="D34" s="194" t="s">
        <v>2833</v>
      </c>
      <c r="E34" s="228" t="s">
        <v>2834</v>
      </c>
      <c r="F34" s="265" t="s">
        <v>2835</v>
      </c>
      <c r="G34" s="228" t="s">
        <v>54</v>
      </c>
      <c r="H34" s="194" t="s">
        <v>1737</v>
      </c>
      <c r="I34" s="100" t="s">
        <v>495</v>
      </c>
      <c r="J34" s="41" t="s">
        <v>2836</v>
      </c>
      <c r="K34" s="100" t="s">
        <v>1639</v>
      </c>
      <c r="L34" s="424" t="s">
        <v>1639</v>
      </c>
      <c r="M34" s="195" t="s">
        <v>51</v>
      </c>
    </row>
    <row r="35" spans="1:13" ht="12.75">
      <c r="A35" s="50"/>
      <c r="B35" s="402"/>
      <c r="C35" s="197"/>
      <c r="D35" s="89"/>
      <c r="E35" s="89"/>
      <c r="F35" s="49"/>
      <c r="G35" s="89"/>
      <c r="H35" s="89"/>
      <c r="I35" s="49"/>
      <c r="J35" s="49"/>
      <c r="K35" s="197"/>
      <c r="L35" s="411"/>
      <c r="M35" s="89"/>
    </row>
    <row r="36" spans="1:13" ht="15.75">
      <c r="A36" s="50"/>
      <c r="B36" s="402"/>
      <c r="C36" s="508" t="s">
        <v>227</v>
      </c>
      <c r="D36" s="508"/>
      <c r="E36" s="508"/>
      <c r="F36" s="508"/>
      <c r="G36" s="508"/>
      <c r="H36" s="508"/>
      <c r="I36" s="508"/>
      <c r="J36" s="508"/>
      <c r="K36" s="508"/>
      <c r="L36" s="508"/>
      <c r="M36" s="89"/>
    </row>
    <row r="37" spans="1:13" ht="12.75">
      <c r="A37" s="50" t="s">
        <v>2208</v>
      </c>
      <c r="B37" s="402"/>
      <c r="C37" s="187" t="s">
        <v>4003</v>
      </c>
      <c r="D37" s="188" t="s">
        <v>2837</v>
      </c>
      <c r="E37" s="188" t="s">
        <v>2838</v>
      </c>
      <c r="F37" s="189" t="s">
        <v>2839</v>
      </c>
      <c r="G37" s="188" t="s">
        <v>31</v>
      </c>
      <c r="H37" s="188" t="s">
        <v>1903</v>
      </c>
      <c r="I37" s="110" t="s">
        <v>471</v>
      </c>
      <c r="J37" s="110" t="s">
        <v>2840</v>
      </c>
      <c r="K37" s="110" t="s">
        <v>3211</v>
      </c>
      <c r="L37" s="251" t="s">
        <v>3243</v>
      </c>
      <c r="M37" s="188" t="s">
        <v>2054</v>
      </c>
    </row>
    <row r="38" spans="1:13" ht="12.75">
      <c r="A38" s="50" t="s">
        <v>2208</v>
      </c>
      <c r="B38" s="402" t="s">
        <v>3526</v>
      </c>
      <c r="C38" s="194" t="s">
        <v>3778</v>
      </c>
      <c r="D38" s="195" t="s">
        <v>2842</v>
      </c>
      <c r="E38" s="195" t="s">
        <v>2023</v>
      </c>
      <c r="F38" s="196" t="s">
        <v>2843</v>
      </c>
      <c r="G38" s="195" t="s">
        <v>125</v>
      </c>
      <c r="H38" s="195" t="s">
        <v>1903</v>
      </c>
      <c r="I38" s="111" t="s">
        <v>24</v>
      </c>
      <c r="J38" s="111" t="s">
        <v>2192</v>
      </c>
      <c r="K38" s="111" t="s">
        <v>3212</v>
      </c>
      <c r="L38" s="254" t="s">
        <v>3244</v>
      </c>
      <c r="M38" s="195" t="s">
        <v>1674</v>
      </c>
    </row>
    <row r="39" spans="1:13" ht="12.75">
      <c r="A39" s="50"/>
      <c r="B39" s="402"/>
      <c r="C39" s="197"/>
      <c r="D39" s="89"/>
      <c r="E39" s="89"/>
      <c r="F39" s="49"/>
      <c r="G39" s="89"/>
      <c r="H39" s="89"/>
      <c r="I39" s="49"/>
      <c r="J39" s="49"/>
      <c r="K39" s="197"/>
      <c r="L39" s="411"/>
      <c r="M39" s="89"/>
    </row>
    <row r="40" spans="1:13" ht="15.75">
      <c r="A40" s="50"/>
      <c r="B40" s="402"/>
      <c r="C40" s="508" t="s">
        <v>304</v>
      </c>
      <c r="D40" s="508"/>
      <c r="E40" s="508"/>
      <c r="F40" s="508"/>
      <c r="G40" s="508"/>
      <c r="H40" s="508"/>
      <c r="I40" s="508"/>
      <c r="J40" s="508"/>
      <c r="K40" s="508"/>
      <c r="L40" s="508"/>
      <c r="M40" s="89"/>
    </row>
    <row r="41" spans="1:13" ht="12.75">
      <c r="A41" s="50" t="s">
        <v>2208</v>
      </c>
      <c r="B41" s="402" t="s">
        <v>3526</v>
      </c>
      <c r="C41" s="187" t="s">
        <v>4004</v>
      </c>
      <c r="D41" s="188" t="s">
        <v>2844</v>
      </c>
      <c r="E41" s="188" t="s">
        <v>2845</v>
      </c>
      <c r="F41" s="189" t="s">
        <v>2846</v>
      </c>
      <c r="G41" s="188" t="s">
        <v>125</v>
      </c>
      <c r="H41" s="188" t="s">
        <v>267</v>
      </c>
      <c r="I41" s="110" t="s">
        <v>446</v>
      </c>
      <c r="J41" s="110" t="s">
        <v>2847</v>
      </c>
      <c r="K41" s="110" t="s">
        <v>3213</v>
      </c>
      <c r="L41" s="251" t="s">
        <v>3245</v>
      </c>
      <c r="M41" s="188" t="s">
        <v>51</v>
      </c>
    </row>
    <row r="42" spans="1:13" ht="12.75">
      <c r="A42" s="50" t="s">
        <v>2208</v>
      </c>
      <c r="B42" s="402" t="s">
        <v>3526</v>
      </c>
      <c r="C42" s="194" t="s">
        <v>4004</v>
      </c>
      <c r="D42" s="195" t="s">
        <v>2848</v>
      </c>
      <c r="E42" s="195" t="s">
        <v>2845</v>
      </c>
      <c r="F42" s="196" t="s">
        <v>2846</v>
      </c>
      <c r="G42" s="195" t="s">
        <v>125</v>
      </c>
      <c r="H42" s="195" t="s">
        <v>267</v>
      </c>
      <c r="I42" s="111" t="s">
        <v>446</v>
      </c>
      <c r="J42" s="111" t="s">
        <v>2847</v>
      </c>
      <c r="K42" s="111" t="s">
        <v>3213</v>
      </c>
      <c r="L42" s="254" t="s">
        <v>3246</v>
      </c>
      <c r="M42" s="195" t="s">
        <v>51</v>
      </c>
    </row>
    <row r="43" spans="1:13" ht="12.75">
      <c r="A43" s="50"/>
      <c r="B43" s="402"/>
      <c r="C43" s="197"/>
      <c r="D43" s="89"/>
      <c r="E43" s="89"/>
      <c r="F43" s="49"/>
      <c r="G43" s="89"/>
      <c r="H43" s="89"/>
      <c r="I43" s="49"/>
      <c r="J43" s="49"/>
      <c r="K43" s="197"/>
      <c r="L43" s="411"/>
      <c r="M43" s="89"/>
    </row>
    <row r="44" spans="1:13" ht="15.75">
      <c r="A44" s="50"/>
      <c r="B44" s="402"/>
      <c r="C44" s="508" t="s">
        <v>364</v>
      </c>
      <c r="D44" s="508"/>
      <c r="E44" s="508"/>
      <c r="F44" s="508"/>
      <c r="G44" s="508"/>
      <c r="H44" s="508"/>
      <c r="I44" s="508"/>
      <c r="J44" s="508"/>
      <c r="K44" s="508"/>
      <c r="L44" s="508"/>
      <c r="M44" s="89"/>
    </row>
    <row r="45" spans="1:13" ht="12.75">
      <c r="A45" s="50" t="s">
        <v>2208</v>
      </c>
      <c r="B45" s="402"/>
      <c r="C45" s="187" t="s">
        <v>4005</v>
      </c>
      <c r="D45" s="188" t="s">
        <v>2849</v>
      </c>
      <c r="E45" s="188" t="s">
        <v>2850</v>
      </c>
      <c r="F45" s="189" t="s">
        <v>2851</v>
      </c>
      <c r="G45" s="188" t="s">
        <v>31</v>
      </c>
      <c r="H45" s="188" t="s">
        <v>1903</v>
      </c>
      <c r="I45" s="110" t="s">
        <v>136</v>
      </c>
      <c r="J45" s="110" t="s">
        <v>2852</v>
      </c>
      <c r="K45" s="110" t="s">
        <v>3214</v>
      </c>
      <c r="L45" s="251" t="s">
        <v>3247</v>
      </c>
      <c r="M45" s="188" t="s">
        <v>1884</v>
      </c>
    </row>
    <row r="46" spans="1:13" ht="12.75">
      <c r="A46" s="50" t="s">
        <v>2208</v>
      </c>
      <c r="B46" s="402"/>
      <c r="C46" s="194" t="s">
        <v>4005</v>
      </c>
      <c r="D46" s="195" t="s">
        <v>2853</v>
      </c>
      <c r="E46" s="195" t="s">
        <v>2850</v>
      </c>
      <c r="F46" s="196" t="s">
        <v>2851</v>
      </c>
      <c r="G46" s="195" t="s">
        <v>31</v>
      </c>
      <c r="H46" s="195" t="s">
        <v>1903</v>
      </c>
      <c r="I46" s="111" t="s">
        <v>136</v>
      </c>
      <c r="J46" s="111" t="s">
        <v>2852</v>
      </c>
      <c r="K46" s="111" t="s">
        <v>3214</v>
      </c>
      <c r="L46" s="254" t="s">
        <v>3248</v>
      </c>
      <c r="M46" s="195" t="s">
        <v>1884</v>
      </c>
    </row>
    <row r="47" spans="1:13" ht="12.75">
      <c r="A47" s="50"/>
      <c r="B47" s="402"/>
      <c r="C47" s="197"/>
      <c r="D47" s="89"/>
      <c r="E47" s="89"/>
      <c r="F47" s="49"/>
      <c r="G47" s="89"/>
      <c r="H47" s="89"/>
      <c r="I47" s="49"/>
      <c r="J47" s="49"/>
      <c r="K47" s="197"/>
      <c r="L47" s="411"/>
      <c r="M47" s="89"/>
    </row>
    <row r="48" spans="3:7" ht="18">
      <c r="C48" s="16" t="s">
        <v>370</v>
      </c>
      <c r="D48" s="16"/>
      <c r="E48" s="15"/>
      <c r="F48" s="15"/>
      <c r="G48" s="15"/>
    </row>
    <row r="49" spans="3:7" ht="15.75">
      <c r="C49" s="22" t="s">
        <v>3192</v>
      </c>
      <c r="D49" s="22"/>
      <c r="E49" s="15"/>
      <c r="F49" s="15"/>
      <c r="G49" s="15"/>
    </row>
    <row r="50" spans="3:7" ht="13.5">
      <c r="C50" s="24"/>
      <c r="D50" s="25" t="s">
        <v>2102</v>
      </c>
      <c r="E50" s="15"/>
      <c r="F50" s="15"/>
      <c r="G50" s="15"/>
    </row>
    <row r="51" spans="3:7" ht="13.5">
      <c r="C51" s="26" t="s">
        <v>373</v>
      </c>
      <c r="D51" s="252" t="s">
        <v>374</v>
      </c>
      <c r="E51" s="252" t="s">
        <v>375</v>
      </c>
      <c r="F51" s="252" t="s">
        <v>2603</v>
      </c>
      <c r="G51" s="252" t="s">
        <v>2272</v>
      </c>
    </row>
    <row r="52" spans="1:7" ht="12.75">
      <c r="A52" s="29">
        <v>1</v>
      </c>
      <c r="C52" s="253" t="s">
        <v>2793</v>
      </c>
      <c r="D52" s="104" t="s">
        <v>3189</v>
      </c>
      <c r="E52" s="104" t="s">
        <v>2127</v>
      </c>
      <c r="F52" s="82" t="s">
        <v>3197</v>
      </c>
      <c r="G52" s="82" t="s">
        <v>4091</v>
      </c>
    </row>
    <row r="53" spans="1:7" ht="12.75">
      <c r="A53" s="29">
        <v>2</v>
      </c>
      <c r="C53" s="223" t="s">
        <v>606</v>
      </c>
      <c r="D53" s="104" t="s">
        <v>3189</v>
      </c>
      <c r="E53" s="104" t="s">
        <v>513</v>
      </c>
      <c r="F53" s="82" t="s">
        <v>3202</v>
      </c>
      <c r="G53" s="82" t="s">
        <v>4093</v>
      </c>
    </row>
    <row r="54" spans="1:7" ht="12.75">
      <c r="A54" s="29">
        <v>3</v>
      </c>
      <c r="C54" s="253" t="s">
        <v>695</v>
      </c>
      <c r="D54" s="104" t="s">
        <v>3189</v>
      </c>
      <c r="E54" s="104" t="s">
        <v>2129</v>
      </c>
      <c r="F54" s="82" t="s">
        <v>3209</v>
      </c>
      <c r="G54" s="82" t="s">
        <v>4092</v>
      </c>
    </row>
    <row r="56" spans="3:7" ht="13.5">
      <c r="C56" s="26" t="s">
        <v>373</v>
      </c>
      <c r="D56" s="26" t="s">
        <v>374</v>
      </c>
      <c r="E56" s="26" t="s">
        <v>375</v>
      </c>
      <c r="F56" s="26" t="s">
        <v>2603</v>
      </c>
      <c r="G56" s="26" t="s">
        <v>2272</v>
      </c>
    </row>
    <row r="57" spans="1:7" ht="12.75">
      <c r="A57" s="29">
        <v>1</v>
      </c>
      <c r="C57" s="90" t="s">
        <v>695</v>
      </c>
      <c r="D57" s="104" t="s">
        <v>3249</v>
      </c>
      <c r="E57" s="104" t="s">
        <v>2129</v>
      </c>
      <c r="F57" s="82" t="s">
        <v>3209</v>
      </c>
      <c r="G57" s="82" t="s">
        <v>3242</v>
      </c>
    </row>
    <row r="58" spans="1:7" ht="12.75">
      <c r="A58" s="29">
        <v>2</v>
      </c>
      <c r="C58" s="90" t="s">
        <v>2797</v>
      </c>
      <c r="D58" s="104" t="s">
        <v>3250</v>
      </c>
      <c r="E58" s="104" t="s">
        <v>2127</v>
      </c>
      <c r="F58" s="82" t="s">
        <v>3200</v>
      </c>
      <c r="G58" s="82" t="s">
        <v>3230</v>
      </c>
    </row>
    <row r="59" spans="1:7" ht="12.75">
      <c r="A59" s="29">
        <v>3</v>
      </c>
      <c r="C59" s="90" t="s">
        <v>654</v>
      </c>
      <c r="D59" s="104" t="s">
        <v>3249</v>
      </c>
      <c r="E59" s="104" t="s">
        <v>2186</v>
      </c>
      <c r="F59" s="82" t="s">
        <v>3207</v>
      </c>
      <c r="G59" s="82" t="s">
        <v>3237</v>
      </c>
    </row>
  </sheetData>
  <sheetProtection/>
  <mergeCells count="22">
    <mergeCell ref="A3:A4"/>
    <mergeCell ref="C3:C4"/>
    <mergeCell ref="D3:D4"/>
    <mergeCell ref="E3:E4"/>
    <mergeCell ref="F3:F4"/>
    <mergeCell ref="G3:G4"/>
    <mergeCell ref="B3:B4"/>
    <mergeCell ref="M3:M4"/>
    <mergeCell ref="C5:L5"/>
    <mergeCell ref="C9:L9"/>
    <mergeCell ref="C16:L16"/>
    <mergeCell ref="C1:M1"/>
    <mergeCell ref="C2:M2"/>
    <mergeCell ref="H3:H4"/>
    <mergeCell ref="I3:J3"/>
    <mergeCell ref="C21:L21"/>
    <mergeCell ref="C29:L29"/>
    <mergeCell ref="C36:L36"/>
    <mergeCell ref="C40:L40"/>
    <mergeCell ref="C44:L4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49">
      <selection activeCell="B1" sqref="B1"/>
    </sheetView>
  </sheetViews>
  <sheetFormatPr defaultColWidth="11.375" defaultRowHeight="12.75"/>
  <cols>
    <col min="1" max="1" width="7.75390625" style="0" customWidth="1"/>
    <col min="2" max="2" width="12.125" style="409" customWidth="1"/>
    <col min="3" max="3" width="27.625" style="0" customWidth="1"/>
    <col min="4" max="4" width="27.00390625" style="0" customWidth="1"/>
    <col min="5" max="5" width="10.25390625" style="0" customWidth="1"/>
    <col min="6" max="6" width="11.375" style="0" customWidth="1"/>
    <col min="7" max="7" width="21.625" style="0" customWidth="1"/>
    <col min="8" max="8" width="31.25390625" style="0" customWidth="1"/>
    <col min="9" max="9" width="11.375" style="0" customWidth="1"/>
    <col min="10" max="10" width="9.875" style="0" customWidth="1"/>
    <col min="11" max="12" width="11.375" style="0" customWidth="1"/>
    <col min="13" max="13" width="19.00390625" style="0" customWidth="1"/>
  </cols>
  <sheetData>
    <row r="1" spans="1:14" ht="57.75" customHeight="1">
      <c r="A1" s="82"/>
      <c r="B1" s="399"/>
      <c r="C1" s="509" t="s">
        <v>2769</v>
      </c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49"/>
    </row>
    <row r="2" spans="1:14" ht="30" thickBot="1">
      <c r="A2" s="82"/>
      <c r="B2" s="399"/>
      <c r="C2" s="509" t="s">
        <v>2322</v>
      </c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49"/>
    </row>
    <row r="3" spans="1:14" ht="24.75" customHeight="1">
      <c r="A3" s="512" t="s">
        <v>1627</v>
      </c>
      <c r="B3" s="516" t="s">
        <v>4516</v>
      </c>
      <c r="C3" s="514" t="s">
        <v>0</v>
      </c>
      <c r="D3" s="516" t="s">
        <v>2271</v>
      </c>
      <c r="E3" s="516" t="s">
        <v>1629</v>
      </c>
      <c r="F3" s="514" t="s">
        <v>2272</v>
      </c>
      <c r="G3" s="514" t="s">
        <v>7</v>
      </c>
      <c r="H3" s="514" t="s">
        <v>3275</v>
      </c>
      <c r="I3" s="514" t="s">
        <v>2</v>
      </c>
      <c r="J3" s="514"/>
      <c r="K3" s="518" t="s">
        <v>2603</v>
      </c>
      <c r="L3" s="514" t="s">
        <v>6</v>
      </c>
      <c r="M3" s="510" t="s">
        <v>5</v>
      </c>
      <c r="N3" s="184"/>
    </row>
    <row r="4" spans="1:14" ht="15" thickBot="1">
      <c r="A4" s="513"/>
      <c r="B4" s="517"/>
      <c r="C4" s="515"/>
      <c r="D4" s="517"/>
      <c r="E4" s="517"/>
      <c r="F4" s="515"/>
      <c r="G4" s="515"/>
      <c r="H4" s="515"/>
      <c r="I4" s="457" t="s">
        <v>2604</v>
      </c>
      <c r="J4" s="457" t="s">
        <v>2605</v>
      </c>
      <c r="K4" s="519"/>
      <c r="L4" s="515"/>
      <c r="M4" s="511"/>
      <c r="N4" s="184"/>
    </row>
    <row r="5" spans="1:13" ht="15.75">
      <c r="A5" s="29"/>
      <c r="B5" s="410"/>
      <c r="C5" s="508" t="s">
        <v>80</v>
      </c>
      <c r="D5" s="508"/>
      <c r="E5" s="508"/>
      <c r="F5" s="508"/>
      <c r="G5" s="508"/>
      <c r="H5" s="508"/>
      <c r="I5" s="508"/>
      <c r="J5" s="508"/>
      <c r="K5" s="508"/>
      <c r="L5" s="508"/>
      <c r="M5" s="15"/>
    </row>
    <row r="6" spans="1:13" ht="12.75">
      <c r="A6" s="29">
        <v>1</v>
      </c>
      <c r="B6" s="410">
        <v>24</v>
      </c>
      <c r="C6" s="20" t="s">
        <v>4006</v>
      </c>
      <c r="D6" s="210" t="s">
        <v>2607</v>
      </c>
      <c r="E6" s="210" t="s">
        <v>2608</v>
      </c>
      <c r="F6" s="210" t="s">
        <v>2609</v>
      </c>
      <c r="G6" s="210" t="s">
        <v>130</v>
      </c>
      <c r="H6" s="210" t="s">
        <v>1230</v>
      </c>
      <c r="I6" s="200" t="s">
        <v>457</v>
      </c>
      <c r="J6" s="200" t="s">
        <v>2610</v>
      </c>
      <c r="K6" s="211">
        <v>977.5</v>
      </c>
      <c r="L6" s="200" t="s">
        <v>2611</v>
      </c>
      <c r="M6" s="210" t="s">
        <v>2612</v>
      </c>
    </row>
    <row r="7" spans="1:13" ht="12.75">
      <c r="A7" s="29"/>
      <c r="B7" s="410"/>
      <c r="C7" s="15"/>
      <c r="D7" s="15"/>
      <c r="E7" s="15"/>
      <c r="F7" s="15"/>
      <c r="G7" s="15"/>
      <c r="H7" s="15"/>
      <c r="I7" s="15"/>
      <c r="J7" s="15"/>
      <c r="K7" s="30"/>
      <c r="L7" s="15"/>
      <c r="M7" s="15"/>
    </row>
    <row r="8" spans="1:13" ht="15.75">
      <c r="A8" s="29"/>
      <c r="B8" s="410"/>
      <c r="C8" s="508" t="s">
        <v>18</v>
      </c>
      <c r="D8" s="508"/>
      <c r="E8" s="508"/>
      <c r="F8" s="508"/>
      <c r="G8" s="508"/>
      <c r="H8" s="508"/>
      <c r="I8" s="508"/>
      <c r="J8" s="508"/>
      <c r="K8" s="508"/>
      <c r="L8" s="508"/>
      <c r="M8" s="15"/>
    </row>
    <row r="9" spans="1:13" ht="12.75">
      <c r="A9" s="29">
        <v>1</v>
      </c>
      <c r="B9" s="410"/>
      <c r="C9" s="20" t="s">
        <v>4007</v>
      </c>
      <c r="D9" s="210" t="s">
        <v>29</v>
      </c>
      <c r="E9" s="210" t="s">
        <v>1778</v>
      </c>
      <c r="F9" s="210" t="s">
        <v>2613</v>
      </c>
      <c r="G9" s="210" t="s">
        <v>31</v>
      </c>
      <c r="H9" s="210" t="s">
        <v>1903</v>
      </c>
      <c r="I9" s="200" t="s">
        <v>55</v>
      </c>
      <c r="J9" s="200" t="s">
        <v>2614</v>
      </c>
      <c r="K9" s="211">
        <v>1417.5</v>
      </c>
      <c r="L9" s="200" t="s">
        <v>2615</v>
      </c>
      <c r="M9" s="210" t="s">
        <v>1831</v>
      </c>
    </row>
    <row r="10" spans="1:13" ht="12.75">
      <c r="A10" s="29"/>
      <c r="B10" s="410"/>
      <c r="C10" s="15"/>
      <c r="D10" s="15"/>
      <c r="E10" s="15"/>
      <c r="F10" s="15"/>
      <c r="G10" s="15"/>
      <c r="H10" s="15"/>
      <c r="I10" s="15"/>
      <c r="J10" s="15"/>
      <c r="K10" s="30"/>
      <c r="L10" s="15"/>
      <c r="M10" s="15"/>
    </row>
    <row r="11" spans="1:13" ht="15.75">
      <c r="A11" s="29"/>
      <c r="B11" s="410"/>
      <c r="C11" s="508" t="s">
        <v>59</v>
      </c>
      <c r="D11" s="508"/>
      <c r="E11" s="508"/>
      <c r="F11" s="508"/>
      <c r="G11" s="508"/>
      <c r="H11" s="508"/>
      <c r="I11" s="508"/>
      <c r="J11" s="508"/>
      <c r="K11" s="508"/>
      <c r="L11" s="508"/>
      <c r="M11" s="15"/>
    </row>
    <row r="12" spans="1:13" ht="12.75">
      <c r="A12" s="29">
        <v>1</v>
      </c>
      <c r="B12" s="410">
        <v>36</v>
      </c>
      <c r="C12" s="20" t="s">
        <v>4008</v>
      </c>
      <c r="D12" s="210" t="s">
        <v>61</v>
      </c>
      <c r="E12" s="210" t="s">
        <v>1854</v>
      </c>
      <c r="F12" s="210" t="s">
        <v>2616</v>
      </c>
      <c r="G12" s="210" t="s">
        <v>54</v>
      </c>
      <c r="H12" s="210" t="s">
        <v>1641</v>
      </c>
      <c r="I12" s="200" t="s">
        <v>32</v>
      </c>
      <c r="J12" s="200" t="s">
        <v>2617</v>
      </c>
      <c r="K12" s="211">
        <v>1925</v>
      </c>
      <c r="L12" s="200" t="s">
        <v>2772</v>
      </c>
      <c r="M12" s="210" t="s">
        <v>2180</v>
      </c>
    </row>
    <row r="13" spans="1:13" ht="12.75">
      <c r="A13" s="29"/>
      <c r="B13" s="410"/>
      <c r="C13" s="15"/>
      <c r="D13" s="15"/>
      <c r="E13" s="15"/>
      <c r="F13" s="15"/>
      <c r="G13" s="15"/>
      <c r="H13" s="15"/>
      <c r="I13" s="15"/>
      <c r="J13" s="15"/>
      <c r="K13" s="30"/>
      <c r="L13" s="15"/>
      <c r="M13" s="15"/>
    </row>
    <row r="14" spans="1:13" ht="15.75">
      <c r="A14" s="29"/>
      <c r="B14" s="410"/>
      <c r="C14" s="508" t="s">
        <v>18</v>
      </c>
      <c r="D14" s="508"/>
      <c r="E14" s="508"/>
      <c r="F14" s="508"/>
      <c r="G14" s="508"/>
      <c r="H14" s="508"/>
      <c r="I14" s="508"/>
      <c r="J14" s="508"/>
      <c r="K14" s="508"/>
      <c r="L14" s="508"/>
      <c r="M14" s="15"/>
    </row>
    <row r="15" spans="1:13" ht="12.75">
      <c r="A15" s="29">
        <v>1</v>
      </c>
      <c r="B15" s="410">
        <v>30</v>
      </c>
      <c r="C15" s="20" t="s">
        <v>4009</v>
      </c>
      <c r="D15" s="210" t="s">
        <v>2618</v>
      </c>
      <c r="E15" s="210" t="s">
        <v>95</v>
      </c>
      <c r="F15" s="210" t="s">
        <v>2619</v>
      </c>
      <c r="G15" s="210" t="s">
        <v>2104</v>
      </c>
      <c r="H15" s="210" t="s">
        <v>761</v>
      </c>
      <c r="I15" s="200" t="s">
        <v>95</v>
      </c>
      <c r="J15" s="200" t="s">
        <v>2620</v>
      </c>
      <c r="K15" s="211">
        <v>2730</v>
      </c>
      <c r="L15" s="200" t="s">
        <v>2621</v>
      </c>
      <c r="M15" s="210" t="s">
        <v>1906</v>
      </c>
    </row>
    <row r="16" spans="1:13" ht="12.75">
      <c r="A16" s="29"/>
      <c r="B16" s="410"/>
      <c r="C16" s="15"/>
      <c r="D16" s="15"/>
      <c r="E16" s="15"/>
      <c r="F16" s="15"/>
      <c r="G16" s="15"/>
      <c r="H16" s="15"/>
      <c r="I16" s="15"/>
      <c r="J16" s="15"/>
      <c r="K16" s="30"/>
      <c r="L16" s="15"/>
      <c r="M16" s="15"/>
    </row>
    <row r="17" spans="1:13" ht="15.75">
      <c r="A17" s="29"/>
      <c r="B17" s="410"/>
      <c r="C17" s="508" t="s">
        <v>42</v>
      </c>
      <c r="D17" s="508"/>
      <c r="E17" s="508"/>
      <c r="F17" s="508"/>
      <c r="G17" s="508"/>
      <c r="H17" s="508"/>
      <c r="I17" s="508"/>
      <c r="J17" s="508"/>
      <c r="K17" s="508"/>
      <c r="L17" s="508"/>
      <c r="M17" s="15"/>
    </row>
    <row r="18" spans="1:13" ht="12.75">
      <c r="A18" s="29">
        <v>1</v>
      </c>
      <c r="B18" s="410">
        <v>36</v>
      </c>
      <c r="C18" s="17" t="s">
        <v>4010</v>
      </c>
      <c r="D18" s="88" t="s">
        <v>2623</v>
      </c>
      <c r="E18" s="88" t="s">
        <v>2624</v>
      </c>
      <c r="F18" s="88" t="s">
        <v>2625</v>
      </c>
      <c r="G18" s="88" t="s">
        <v>125</v>
      </c>
      <c r="H18" s="88" t="s">
        <v>2626</v>
      </c>
      <c r="I18" s="110" t="s">
        <v>416</v>
      </c>
      <c r="J18" s="110" t="s">
        <v>2627</v>
      </c>
      <c r="K18" s="167">
        <v>7070</v>
      </c>
      <c r="L18" s="110" t="s">
        <v>2628</v>
      </c>
      <c r="M18" s="88" t="s">
        <v>2629</v>
      </c>
    </row>
    <row r="19" spans="1:13" ht="12.75">
      <c r="A19" s="29">
        <v>2</v>
      </c>
      <c r="B19" s="410"/>
      <c r="C19" s="18" t="s">
        <v>4011</v>
      </c>
      <c r="D19" s="93" t="s">
        <v>2632</v>
      </c>
      <c r="E19" s="93" t="s">
        <v>2633</v>
      </c>
      <c r="F19" s="93" t="s">
        <v>2634</v>
      </c>
      <c r="G19" s="93" t="s">
        <v>31</v>
      </c>
      <c r="H19" s="93" t="s">
        <v>162</v>
      </c>
      <c r="I19" s="193" t="s">
        <v>57</v>
      </c>
      <c r="J19" s="193" t="s">
        <v>2635</v>
      </c>
      <c r="K19" s="212">
        <v>2850</v>
      </c>
      <c r="L19" s="193" t="s">
        <v>2774</v>
      </c>
      <c r="M19" s="93" t="s">
        <v>2636</v>
      </c>
    </row>
    <row r="20" spans="1:13" ht="12.75">
      <c r="A20" s="29">
        <v>1</v>
      </c>
      <c r="B20" s="410"/>
      <c r="C20" s="19" t="s">
        <v>4011</v>
      </c>
      <c r="D20" s="95" t="s">
        <v>2637</v>
      </c>
      <c r="E20" s="95" t="s">
        <v>2633</v>
      </c>
      <c r="F20" s="95" t="s">
        <v>2634</v>
      </c>
      <c r="G20" s="95" t="s">
        <v>31</v>
      </c>
      <c r="H20" s="95" t="s">
        <v>162</v>
      </c>
      <c r="I20" s="111" t="s">
        <v>57</v>
      </c>
      <c r="J20" s="111" t="s">
        <v>2635</v>
      </c>
      <c r="K20" s="168">
        <v>2850</v>
      </c>
      <c r="L20" s="111" t="s">
        <v>2775</v>
      </c>
      <c r="M20" s="95" t="s">
        <v>2638</v>
      </c>
    </row>
    <row r="21" spans="1:13" ht="12.75">
      <c r="A21" s="29"/>
      <c r="B21" s="410"/>
      <c r="C21" s="15"/>
      <c r="D21" s="15"/>
      <c r="E21" s="15"/>
      <c r="F21" s="15"/>
      <c r="G21" s="15"/>
      <c r="H21" s="15"/>
      <c r="I21" s="15"/>
      <c r="J21" s="15"/>
      <c r="K21" s="30"/>
      <c r="L21" s="15"/>
      <c r="M21" s="15"/>
    </row>
    <row r="22" spans="1:13" ht="15.75">
      <c r="A22" s="29"/>
      <c r="B22" s="410"/>
      <c r="C22" s="508" t="s">
        <v>116</v>
      </c>
      <c r="D22" s="508"/>
      <c r="E22" s="508"/>
      <c r="F22" s="508"/>
      <c r="G22" s="508"/>
      <c r="H22" s="508"/>
      <c r="I22" s="508"/>
      <c r="J22" s="508"/>
      <c r="K22" s="508"/>
      <c r="L22" s="508"/>
      <c r="M22" s="15"/>
    </row>
    <row r="23" spans="1:13" ht="12.75">
      <c r="A23" s="29">
        <v>1</v>
      </c>
      <c r="B23" s="410"/>
      <c r="C23" s="17" t="s">
        <v>4012</v>
      </c>
      <c r="D23" s="88" t="s">
        <v>2640</v>
      </c>
      <c r="E23" s="88" t="s">
        <v>2019</v>
      </c>
      <c r="F23" s="88" t="s">
        <v>2641</v>
      </c>
      <c r="G23" s="88" t="s">
        <v>31</v>
      </c>
      <c r="H23" s="88" t="s">
        <v>2626</v>
      </c>
      <c r="I23" s="110" t="s">
        <v>48</v>
      </c>
      <c r="J23" s="110" t="s">
        <v>2642</v>
      </c>
      <c r="K23" s="167">
        <v>3440</v>
      </c>
      <c r="L23" s="110" t="s">
        <v>2643</v>
      </c>
      <c r="M23" s="88" t="s">
        <v>1686</v>
      </c>
    </row>
    <row r="24" spans="1:13" ht="12.75">
      <c r="A24" s="29">
        <v>1</v>
      </c>
      <c r="B24" s="410">
        <v>36</v>
      </c>
      <c r="C24" s="18" t="s">
        <v>4013</v>
      </c>
      <c r="D24" s="93" t="s">
        <v>117</v>
      </c>
      <c r="E24" s="93" t="s">
        <v>1692</v>
      </c>
      <c r="F24" s="93" t="s">
        <v>2391</v>
      </c>
      <c r="G24" s="93" t="s">
        <v>2104</v>
      </c>
      <c r="H24" s="93" t="s">
        <v>119</v>
      </c>
      <c r="I24" s="193" t="s">
        <v>513</v>
      </c>
      <c r="J24" s="193" t="s">
        <v>2642</v>
      </c>
      <c r="K24" s="212">
        <v>3547.5</v>
      </c>
      <c r="L24" s="193" t="s">
        <v>2644</v>
      </c>
      <c r="M24" s="93" t="s">
        <v>51</v>
      </c>
    </row>
    <row r="25" spans="1:13" ht="12.75">
      <c r="A25" s="29">
        <v>2</v>
      </c>
      <c r="B25" s="410">
        <v>27</v>
      </c>
      <c r="C25" s="18" t="s">
        <v>4014</v>
      </c>
      <c r="D25" s="93" t="s">
        <v>2646</v>
      </c>
      <c r="E25" s="93" t="s">
        <v>2647</v>
      </c>
      <c r="F25" s="93" t="s">
        <v>2648</v>
      </c>
      <c r="G25" s="93" t="s">
        <v>2348</v>
      </c>
      <c r="H25" s="93" t="s">
        <v>267</v>
      </c>
      <c r="I25" s="193" t="s">
        <v>666</v>
      </c>
      <c r="J25" s="193" t="s">
        <v>2649</v>
      </c>
      <c r="K25" s="212">
        <v>3022.5</v>
      </c>
      <c r="L25" s="193" t="s">
        <v>2650</v>
      </c>
      <c r="M25" s="93" t="s">
        <v>2552</v>
      </c>
    </row>
    <row r="26" spans="1:13" ht="12.75">
      <c r="A26" s="29">
        <v>3</v>
      </c>
      <c r="B26" s="410"/>
      <c r="C26" s="18" t="s">
        <v>4015</v>
      </c>
      <c r="D26" s="93" t="s">
        <v>2652</v>
      </c>
      <c r="E26" s="93" t="s">
        <v>1692</v>
      </c>
      <c r="F26" s="93" t="s">
        <v>2391</v>
      </c>
      <c r="G26" s="93" t="s">
        <v>31</v>
      </c>
      <c r="H26" s="93" t="s">
        <v>2653</v>
      </c>
      <c r="I26" s="193" t="s">
        <v>513</v>
      </c>
      <c r="J26" s="193" t="s">
        <v>2635</v>
      </c>
      <c r="K26" s="212">
        <v>3135</v>
      </c>
      <c r="L26" s="193" t="s">
        <v>2654</v>
      </c>
      <c r="M26" s="93" t="s">
        <v>2655</v>
      </c>
    </row>
    <row r="27" spans="1:13" ht="12.75">
      <c r="A27" s="29">
        <v>1</v>
      </c>
      <c r="B27" s="410">
        <v>30</v>
      </c>
      <c r="C27" s="18" t="s">
        <v>4014</v>
      </c>
      <c r="D27" s="93" t="s">
        <v>2656</v>
      </c>
      <c r="E27" s="93" t="s">
        <v>2647</v>
      </c>
      <c r="F27" s="93" t="s">
        <v>2648</v>
      </c>
      <c r="G27" s="93" t="s">
        <v>2348</v>
      </c>
      <c r="H27" s="93" t="s">
        <v>267</v>
      </c>
      <c r="I27" s="193" t="s">
        <v>666</v>
      </c>
      <c r="J27" s="193" t="s">
        <v>2649</v>
      </c>
      <c r="K27" s="212">
        <v>3022.5</v>
      </c>
      <c r="L27" s="193" t="s">
        <v>2650</v>
      </c>
      <c r="M27" s="93" t="s">
        <v>2552</v>
      </c>
    </row>
    <row r="28" spans="1:13" ht="12.75">
      <c r="A28" s="29">
        <v>2</v>
      </c>
      <c r="B28" s="410"/>
      <c r="C28" s="19" t="s">
        <v>4015</v>
      </c>
      <c r="D28" s="95" t="s">
        <v>2657</v>
      </c>
      <c r="E28" s="95" t="s">
        <v>1692</v>
      </c>
      <c r="F28" s="95" t="s">
        <v>2391</v>
      </c>
      <c r="G28" s="95" t="s">
        <v>31</v>
      </c>
      <c r="H28" s="95" t="s">
        <v>2653</v>
      </c>
      <c r="I28" s="111" t="s">
        <v>513</v>
      </c>
      <c r="J28" s="111" t="s">
        <v>2635</v>
      </c>
      <c r="K28" s="168">
        <v>3135</v>
      </c>
      <c r="L28" s="111" t="s">
        <v>2658</v>
      </c>
      <c r="M28" s="95" t="s">
        <v>2655</v>
      </c>
    </row>
    <row r="29" spans="1:13" ht="12.75">
      <c r="A29" s="29"/>
      <c r="B29" s="410"/>
      <c r="C29" s="15"/>
      <c r="D29" s="15"/>
      <c r="E29" s="15"/>
      <c r="F29" s="15"/>
      <c r="G29" s="15"/>
      <c r="H29" s="15"/>
      <c r="I29" s="15"/>
      <c r="J29" s="15"/>
      <c r="K29" s="30"/>
      <c r="L29" s="15"/>
      <c r="M29" s="15"/>
    </row>
    <row r="30" spans="1:13" ht="15.75">
      <c r="A30" s="29"/>
      <c r="B30" s="410"/>
      <c r="C30" s="526" t="s">
        <v>59</v>
      </c>
      <c r="D30" s="526"/>
      <c r="E30" s="526"/>
      <c r="F30" s="526"/>
      <c r="G30" s="526"/>
      <c r="H30" s="526"/>
      <c r="I30" s="526"/>
      <c r="J30" s="526"/>
      <c r="K30" s="526"/>
      <c r="L30" s="526"/>
      <c r="M30" s="15"/>
    </row>
    <row r="31" spans="1:13" ht="12.75">
      <c r="A31" s="29">
        <v>1</v>
      </c>
      <c r="B31" s="410">
        <v>36</v>
      </c>
      <c r="C31" s="83" t="s">
        <v>4016</v>
      </c>
      <c r="D31" s="17" t="s">
        <v>2659</v>
      </c>
      <c r="E31" s="84" t="s">
        <v>2660</v>
      </c>
      <c r="F31" s="17" t="s">
        <v>2292</v>
      </c>
      <c r="G31" s="84" t="s">
        <v>54</v>
      </c>
      <c r="H31" s="17" t="s">
        <v>1641</v>
      </c>
      <c r="I31" s="87" t="s">
        <v>49</v>
      </c>
      <c r="J31" s="35" t="s">
        <v>2661</v>
      </c>
      <c r="K31" s="151">
        <v>4050</v>
      </c>
      <c r="L31" s="35" t="s">
        <v>2662</v>
      </c>
      <c r="M31" s="88" t="s">
        <v>51</v>
      </c>
    </row>
    <row r="32" spans="1:13" ht="12.75">
      <c r="A32" s="29">
        <v>2</v>
      </c>
      <c r="B32" s="410">
        <v>27</v>
      </c>
      <c r="C32" s="92" t="s">
        <v>4017</v>
      </c>
      <c r="D32" s="18" t="s">
        <v>2663</v>
      </c>
      <c r="E32" s="79" t="s">
        <v>2664</v>
      </c>
      <c r="F32" s="18" t="s">
        <v>2665</v>
      </c>
      <c r="G32" s="79" t="s">
        <v>14</v>
      </c>
      <c r="H32" s="18" t="s">
        <v>2666</v>
      </c>
      <c r="I32" s="82" t="s">
        <v>32</v>
      </c>
      <c r="J32" s="38" t="s">
        <v>2649</v>
      </c>
      <c r="K32" s="150">
        <v>3412.5</v>
      </c>
      <c r="L32" s="38" t="s">
        <v>2667</v>
      </c>
      <c r="M32" s="93" t="s">
        <v>51</v>
      </c>
    </row>
    <row r="33" spans="1:13" ht="12.75">
      <c r="A33" s="29">
        <v>3</v>
      </c>
      <c r="B33" s="410">
        <v>26</v>
      </c>
      <c r="C33" s="92" t="s">
        <v>4018</v>
      </c>
      <c r="D33" s="18" t="s">
        <v>2669</v>
      </c>
      <c r="E33" s="79" t="s">
        <v>2670</v>
      </c>
      <c r="F33" s="18" t="s">
        <v>2671</v>
      </c>
      <c r="G33" s="79" t="s">
        <v>125</v>
      </c>
      <c r="H33" s="18" t="s">
        <v>2672</v>
      </c>
      <c r="I33" s="82" t="s">
        <v>49</v>
      </c>
      <c r="J33" s="38" t="s">
        <v>2635</v>
      </c>
      <c r="K33" s="150">
        <v>3420</v>
      </c>
      <c r="L33" s="38" t="s">
        <v>2673</v>
      </c>
      <c r="M33" s="93" t="s">
        <v>2674</v>
      </c>
    </row>
    <row r="34" spans="1:13" ht="12.75">
      <c r="A34" s="29">
        <v>4</v>
      </c>
      <c r="B34" s="410">
        <v>19</v>
      </c>
      <c r="C34" s="92" t="s">
        <v>4019</v>
      </c>
      <c r="D34" s="18" t="s">
        <v>2675</v>
      </c>
      <c r="E34" s="79" t="s">
        <v>2676</v>
      </c>
      <c r="F34" s="18" t="s">
        <v>2677</v>
      </c>
      <c r="G34" s="79" t="s">
        <v>125</v>
      </c>
      <c r="H34" s="18" t="s">
        <v>1903</v>
      </c>
      <c r="I34" s="82" t="s">
        <v>474</v>
      </c>
      <c r="J34" s="38" t="s">
        <v>2678</v>
      </c>
      <c r="K34" s="150">
        <v>2805</v>
      </c>
      <c r="L34" s="38" t="s">
        <v>2679</v>
      </c>
      <c r="M34" s="93" t="s">
        <v>51</v>
      </c>
    </row>
    <row r="35" spans="1:13" ht="12.75">
      <c r="A35" s="29">
        <v>5</v>
      </c>
      <c r="B35" s="410"/>
      <c r="C35" s="92" t="s">
        <v>4020</v>
      </c>
      <c r="D35" s="18" t="s">
        <v>2680</v>
      </c>
      <c r="E35" s="79" t="s">
        <v>1791</v>
      </c>
      <c r="F35" s="18" t="s">
        <v>2451</v>
      </c>
      <c r="G35" s="79" t="s">
        <v>31</v>
      </c>
      <c r="H35" s="18" t="s">
        <v>603</v>
      </c>
      <c r="I35" s="82" t="s">
        <v>49</v>
      </c>
      <c r="J35" s="38" t="s">
        <v>2681</v>
      </c>
      <c r="K35" s="150">
        <v>2070</v>
      </c>
      <c r="L35" s="38" t="s">
        <v>2682</v>
      </c>
      <c r="M35" s="93" t="s">
        <v>51</v>
      </c>
    </row>
    <row r="36" spans="1:13" ht="12.75">
      <c r="A36" s="29">
        <v>6</v>
      </c>
      <c r="B36" s="410">
        <v>5</v>
      </c>
      <c r="C36" s="92" t="s">
        <v>4021</v>
      </c>
      <c r="D36" s="18" t="s">
        <v>159</v>
      </c>
      <c r="E36" s="79" t="s">
        <v>1921</v>
      </c>
      <c r="F36" s="18" t="s">
        <v>2687</v>
      </c>
      <c r="G36" s="79" t="s">
        <v>161</v>
      </c>
      <c r="H36" s="18" t="s">
        <v>162</v>
      </c>
      <c r="I36" s="82" t="s">
        <v>32</v>
      </c>
      <c r="J36" s="38" t="s">
        <v>2617</v>
      </c>
      <c r="K36" s="150">
        <v>1925</v>
      </c>
      <c r="L36" s="38" t="s">
        <v>2688</v>
      </c>
      <c r="M36" s="93" t="s">
        <v>1667</v>
      </c>
    </row>
    <row r="37" spans="1:13" ht="12.75">
      <c r="A37" s="29">
        <v>7</v>
      </c>
      <c r="B37" s="410">
        <v>4</v>
      </c>
      <c r="C37" s="92" t="s">
        <v>4022</v>
      </c>
      <c r="D37" s="18" t="s">
        <v>2683</v>
      </c>
      <c r="E37" s="79" t="s">
        <v>1899</v>
      </c>
      <c r="F37" s="18" t="s">
        <v>2684</v>
      </c>
      <c r="G37" s="79" t="s">
        <v>161</v>
      </c>
      <c r="H37" s="18" t="s">
        <v>2685</v>
      </c>
      <c r="I37" s="82" t="s">
        <v>474</v>
      </c>
      <c r="J37" s="38" t="s">
        <v>2617</v>
      </c>
      <c r="K37" s="150">
        <v>1870</v>
      </c>
      <c r="L37" s="38" t="s">
        <v>2686</v>
      </c>
      <c r="M37" s="93" t="s">
        <v>51</v>
      </c>
    </row>
    <row r="38" spans="1:13" ht="12.75">
      <c r="A38" s="29">
        <v>8</v>
      </c>
      <c r="B38" s="410"/>
      <c r="C38" s="92" t="s">
        <v>4023</v>
      </c>
      <c r="D38" s="18" t="s">
        <v>2458</v>
      </c>
      <c r="E38" s="79" t="s">
        <v>2459</v>
      </c>
      <c r="F38" s="18" t="s">
        <v>2460</v>
      </c>
      <c r="G38" s="79" t="s">
        <v>31</v>
      </c>
      <c r="H38" s="18" t="s">
        <v>143</v>
      </c>
      <c r="I38" s="82" t="s">
        <v>32</v>
      </c>
      <c r="J38" s="38" t="s">
        <v>2689</v>
      </c>
      <c r="K38" s="150">
        <v>1225</v>
      </c>
      <c r="L38" s="38" t="s">
        <v>2690</v>
      </c>
      <c r="M38" s="93" t="s">
        <v>51</v>
      </c>
    </row>
    <row r="39" spans="1:13" ht="12.75">
      <c r="A39" s="29">
        <v>1</v>
      </c>
      <c r="B39" s="410"/>
      <c r="C39" s="94" t="s">
        <v>3215</v>
      </c>
      <c r="D39" s="19" t="s">
        <v>3216</v>
      </c>
      <c r="E39" s="98" t="s">
        <v>1793</v>
      </c>
      <c r="F39" s="19" t="s">
        <v>3217</v>
      </c>
      <c r="G39" s="98" t="s">
        <v>31</v>
      </c>
      <c r="H39" s="19" t="s">
        <v>2800</v>
      </c>
      <c r="I39" s="100" t="s">
        <v>32</v>
      </c>
      <c r="J39" s="41" t="s">
        <v>3218</v>
      </c>
      <c r="K39" s="152">
        <v>875</v>
      </c>
      <c r="L39" s="41" t="s">
        <v>3219</v>
      </c>
      <c r="M39" s="95" t="s">
        <v>51</v>
      </c>
    </row>
    <row r="40" spans="1:13" ht="12.75">
      <c r="A40" s="29"/>
      <c r="B40" s="410"/>
      <c r="C40" s="15"/>
      <c r="D40" s="15"/>
      <c r="E40" s="15"/>
      <c r="F40" s="15"/>
      <c r="G40" s="15"/>
      <c r="H40" s="15"/>
      <c r="I40" s="15"/>
      <c r="J40" s="15"/>
      <c r="K40" s="30"/>
      <c r="L40" s="15"/>
      <c r="M40" s="15"/>
    </row>
    <row r="41" spans="1:13" ht="15.75">
      <c r="A41" s="29"/>
      <c r="B41" s="410"/>
      <c r="C41" s="526" t="s">
        <v>164</v>
      </c>
      <c r="D41" s="526"/>
      <c r="E41" s="526"/>
      <c r="F41" s="526"/>
      <c r="G41" s="526"/>
      <c r="H41" s="526"/>
      <c r="I41" s="526"/>
      <c r="J41" s="526"/>
      <c r="K41" s="526"/>
      <c r="L41" s="526"/>
      <c r="M41" s="15"/>
    </row>
    <row r="42" spans="1:13" ht="12.75">
      <c r="A42" s="29">
        <v>1</v>
      </c>
      <c r="B42" s="410">
        <v>24</v>
      </c>
      <c r="C42" s="83" t="s">
        <v>4024</v>
      </c>
      <c r="D42" s="17" t="s">
        <v>2692</v>
      </c>
      <c r="E42" s="84" t="s">
        <v>2693</v>
      </c>
      <c r="F42" s="17" t="s">
        <v>2694</v>
      </c>
      <c r="G42" s="84" t="s">
        <v>14</v>
      </c>
      <c r="H42" s="17" t="s">
        <v>1903</v>
      </c>
      <c r="I42" s="87" t="s">
        <v>33</v>
      </c>
      <c r="J42" s="35" t="s">
        <v>2695</v>
      </c>
      <c r="K42" s="151">
        <v>2945</v>
      </c>
      <c r="L42" s="35" t="s">
        <v>2696</v>
      </c>
      <c r="M42" s="88" t="s">
        <v>1665</v>
      </c>
    </row>
    <row r="43" spans="1:13" ht="12.75">
      <c r="A43" s="29">
        <v>2</v>
      </c>
      <c r="B43" s="410"/>
      <c r="C43" s="92" t="s">
        <v>4025</v>
      </c>
      <c r="D43" s="18" t="s">
        <v>185</v>
      </c>
      <c r="E43" s="79" t="s">
        <v>1961</v>
      </c>
      <c r="F43" s="18" t="s">
        <v>2697</v>
      </c>
      <c r="G43" s="79" t="s">
        <v>31</v>
      </c>
      <c r="H43" s="18" t="s">
        <v>87</v>
      </c>
      <c r="I43" s="82" t="s">
        <v>303</v>
      </c>
      <c r="J43" s="38" t="s">
        <v>2698</v>
      </c>
      <c r="K43" s="150">
        <v>2600</v>
      </c>
      <c r="L43" s="38" t="s">
        <v>2699</v>
      </c>
      <c r="M43" s="93" t="s">
        <v>51</v>
      </c>
    </row>
    <row r="44" spans="1:13" ht="12.75">
      <c r="A44" s="29">
        <v>3</v>
      </c>
      <c r="B44" s="410"/>
      <c r="C44" s="92" t="s">
        <v>4026</v>
      </c>
      <c r="D44" s="18" t="s">
        <v>2700</v>
      </c>
      <c r="E44" s="79" t="s">
        <v>1962</v>
      </c>
      <c r="F44" s="18" t="s">
        <v>2701</v>
      </c>
      <c r="G44" s="79" t="s">
        <v>31</v>
      </c>
      <c r="H44" s="18" t="s">
        <v>2702</v>
      </c>
      <c r="I44" s="82" t="s">
        <v>451</v>
      </c>
      <c r="J44" s="38" t="s">
        <v>2681</v>
      </c>
      <c r="K44" s="150">
        <v>2242.5</v>
      </c>
      <c r="L44" s="38" t="s">
        <v>2703</v>
      </c>
      <c r="M44" s="93" t="s">
        <v>51</v>
      </c>
    </row>
    <row r="45" spans="1:13" ht="12.75">
      <c r="A45" s="29">
        <v>4</v>
      </c>
      <c r="B45" s="410">
        <v>7</v>
      </c>
      <c r="C45" s="92" t="s">
        <v>3797</v>
      </c>
      <c r="D45" s="18" t="s">
        <v>2468</v>
      </c>
      <c r="E45" s="79" t="s">
        <v>2465</v>
      </c>
      <c r="F45" s="18" t="s">
        <v>2466</v>
      </c>
      <c r="G45" s="79" t="s">
        <v>130</v>
      </c>
      <c r="H45" s="18" t="s">
        <v>2469</v>
      </c>
      <c r="I45" s="82" t="s">
        <v>451</v>
      </c>
      <c r="J45" s="38" t="s">
        <v>2617</v>
      </c>
      <c r="K45" s="150">
        <v>2145</v>
      </c>
      <c r="L45" s="38" t="s">
        <v>2704</v>
      </c>
      <c r="M45" s="93" t="s">
        <v>51</v>
      </c>
    </row>
    <row r="46" spans="1:13" ht="12.75">
      <c r="A46" s="29">
        <v>1</v>
      </c>
      <c r="B46" s="410">
        <v>30</v>
      </c>
      <c r="C46" s="92" t="s">
        <v>4027</v>
      </c>
      <c r="D46" s="18" t="s">
        <v>2705</v>
      </c>
      <c r="E46" s="79" t="s">
        <v>2706</v>
      </c>
      <c r="F46" s="18" t="s">
        <v>2707</v>
      </c>
      <c r="G46" s="79" t="s">
        <v>2104</v>
      </c>
      <c r="H46" s="18" t="s">
        <v>4702</v>
      </c>
      <c r="I46" s="82" t="s">
        <v>495</v>
      </c>
      <c r="J46" s="38" t="s">
        <v>2708</v>
      </c>
      <c r="K46" s="150">
        <v>3330</v>
      </c>
      <c r="L46" s="38" t="s">
        <v>2709</v>
      </c>
      <c r="M46" s="93" t="s">
        <v>1686</v>
      </c>
    </row>
    <row r="47" spans="1:13" ht="12.75">
      <c r="A47" s="29">
        <v>2</v>
      </c>
      <c r="B47" s="410">
        <v>9</v>
      </c>
      <c r="C47" s="92" t="s">
        <v>3797</v>
      </c>
      <c r="D47" s="18" t="s">
        <v>2710</v>
      </c>
      <c r="E47" s="79" t="s">
        <v>2465</v>
      </c>
      <c r="F47" s="18" t="s">
        <v>2466</v>
      </c>
      <c r="G47" s="79" t="s">
        <v>130</v>
      </c>
      <c r="H47" s="18" t="s">
        <v>2469</v>
      </c>
      <c r="I47" s="82" t="s">
        <v>451</v>
      </c>
      <c r="J47" s="38" t="s">
        <v>2617</v>
      </c>
      <c r="K47" s="150">
        <v>2145</v>
      </c>
      <c r="L47" s="38" t="s">
        <v>2704</v>
      </c>
      <c r="M47" s="93" t="s">
        <v>51</v>
      </c>
    </row>
    <row r="48" spans="1:13" ht="12.75">
      <c r="A48" s="29"/>
      <c r="B48" s="410"/>
      <c r="C48" s="92" t="s">
        <v>2711</v>
      </c>
      <c r="D48" s="18" t="s">
        <v>2712</v>
      </c>
      <c r="E48" s="79" t="s">
        <v>2713</v>
      </c>
      <c r="F48" s="18" t="s">
        <v>2714</v>
      </c>
      <c r="G48" s="79" t="s">
        <v>99</v>
      </c>
      <c r="H48" s="18" t="s">
        <v>152</v>
      </c>
      <c r="I48" s="82" t="s">
        <v>303</v>
      </c>
      <c r="J48" s="38" t="s">
        <v>2210</v>
      </c>
      <c r="K48" s="255">
        <v>0</v>
      </c>
      <c r="L48" s="38" t="s">
        <v>1639</v>
      </c>
      <c r="M48" s="93" t="s">
        <v>2770</v>
      </c>
    </row>
    <row r="49" spans="1:13" ht="12.75">
      <c r="A49" s="29">
        <v>1</v>
      </c>
      <c r="B49" s="410"/>
      <c r="C49" s="94" t="s">
        <v>3803</v>
      </c>
      <c r="D49" s="19" t="s">
        <v>2715</v>
      </c>
      <c r="E49" s="98" t="s">
        <v>2716</v>
      </c>
      <c r="F49" s="19" t="s">
        <v>2717</v>
      </c>
      <c r="G49" s="98" t="s">
        <v>31</v>
      </c>
      <c r="H49" s="19" t="s">
        <v>1225</v>
      </c>
      <c r="I49" s="100" t="s">
        <v>33</v>
      </c>
      <c r="J49" s="41" t="s">
        <v>2718</v>
      </c>
      <c r="K49" s="152">
        <v>2660</v>
      </c>
      <c r="L49" s="41" t="s">
        <v>2719</v>
      </c>
      <c r="M49" s="95" t="s">
        <v>51</v>
      </c>
    </row>
    <row r="50" spans="1:13" ht="12.75">
      <c r="A50" s="29"/>
      <c r="B50" s="410"/>
      <c r="C50" s="15"/>
      <c r="D50" s="15"/>
      <c r="E50" s="15"/>
      <c r="F50" s="15"/>
      <c r="G50" s="15"/>
      <c r="H50" s="15"/>
      <c r="I50" s="15"/>
      <c r="J50" s="15"/>
      <c r="K50" s="30"/>
      <c r="L50" s="15"/>
      <c r="M50" s="15"/>
    </row>
    <row r="51" spans="1:13" ht="15.75">
      <c r="A51" s="29"/>
      <c r="B51" s="410"/>
      <c r="C51" s="526" t="s">
        <v>227</v>
      </c>
      <c r="D51" s="526"/>
      <c r="E51" s="526"/>
      <c r="F51" s="526"/>
      <c r="G51" s="526"/>
      <c r="H51" s="526"/>
      <c r="I51" s="526"/>
      <c r="J51" s="526"/>
      <c r="K51" s="526"/>
      <c r="L51" s="526"/>
      <c r="M51" s="15"/>
    </row>
    <row r="52" spans="1:13" ht="12.75">
      <c r="A52" s="29">
        <v>1</v>
      </c>
      <c r="B52" s="410"/>
      <c r="C52" s="83" t="s">
        <v>4028</v>
      </c>
      <c r="D52" s="17" t="s">
        <v>3220</v>
      </c>
      <c r="E52" s="84" t="s">
        <v>3095</v>
      </c>
      <c r="F52" s="17" t="s">
        <v>3221</v>
      </c>
      <c r="G52" s="84" t="s">
        <v>31</v>
      </c>
      <c r="H52" s="17" t="s">
        <v>1903</v>
      </c>
      <c r="I52" s="87" t="s">
        <v>25</v>
      </c>
      <c r="J52" s="35" t="s">
        <v>3222</v>
      </c>
      <c r="K52" s="151">
        <v>1500</v>
      </c>
      <c r="L52" s="35" t="s">
        <v>3223</v>
      </c>
      <c r="M52" s="88" t="s">
        <v>51</v>
      </c>
    </row>
    <row r="53" spans="1:13" ht="12.75">
      <c r="A53" s="29">
        <v>1</v>
      </c>
      <c r="B53" s="410"/>
      <c r="C53" s="92" t="s">
        <v>4029</v>
      </c>
      <c r="D53" s="18" t="s">
        <v>235</v>
      </c>
      <c r="E53" s="79" t="s">
        <v>2478</v>
      </c>
      <c r="F53" s="18" t="s">
        <v>2479</v>
      </c>
      <c r="G53" s="79" t="s">
        <v>31</v>
      </c>
      <c r="H53" s="18" t="s">
        <v>87</v>
      </c>
      <c r="I53" s="82" t="s">
        <v>471</v>
      </c>
      <c r="J53" s="38" t="s">
        <v>2720</v>
      </c>
      <c r="K53" s="150">
        <v>4830</v>
      </c>
      <c r="L53" s="38" t="s">
        <v>2721</v>
      </c>
      <c r="M53" s="93" t="s">
        <v>51</v>
      </c>
    </row>
    <row r="54" spans="1:13" ht="12.75">
      <c r="A54" s="29">
        <v>2</v>
      </c>
      <c r="B54" s="410"/>
      <c r="C54" s="92" t="s">
        <v>4030</v>
      </c>
      <c r="D54" s="18" t="s">
        <v>2723</v>
      </c>
      <c r="E54" s="79" t="s">
        <v>1799</v>
      </c>
      <c r="F54" s="18" t="s">
        <v>2724</v>
      </c>
      <c r="G54" s="79" t="s">
        <v>31</v>
      </c>
      <c r="H54" s="18" t="s">
        <v>162</v>
      </c>
      <c r="I54" s="82" t="s">
        <v>452</v>
      </c>
      <c r="J54" s="38" t="s">
        <v>2642</v>
      </c>
      <c r="K54" s="150">
        <v>4407.5</v>
      </c>
      <c r="L54" s="38" t="s">
        <v>2725</v>
      </c>
      <c r="M54" s="93" t="s">
        <v>51</v>
      </c>
    </row>
    <row r="55" spans="1:13" ht="12.75">
      <c r="A55" s="29">
        <v>3</v>
      </c>
      <c r="B55" s="410"/>
      <c r="C55" s="92" t="s">
        <v>4031</v>
      </c>
      <c r="D55" s="18" t="s">
        <v>261</v>
      </c>
      <c r="E55" s="79" t="s">
        <v>24</v>
      </c>
      <c r="F55" s="18" t="s">
        <v>2433</v>
      </c>
      <c r="G55" s="79" t="s">
        <v>31</v>
      </c>
      <c r="H55" s="18" t="s">
        <v>1903</v>
      </c>
      <c r="I55" s="82" t="s">
        <v>24</v>
      </c>
      <c r="J55" s="38" t="s">
        <v>2726</v>
      </c>
      <c r="K55" s="150">
        <v>3762.5</v>
      </c>
      <c r="L55" s="38" t="s">
        <v>2727</v>
      </c>
      <c r="M55" s="93" t="s">
        <v>51</v>
      </c>
    </row>
    <row r="56" spans="1:13" ht="12.75">
      <c r="A56" s="29">
        <v>4</v>
      </c>
      <c r="B56" s="410"/>
      <c r="C56" s="92" t="s">
        <v>4032</v>
      </c>
      <c r="D56" s="18" t="s">
        <v>2728</v>
      </c>
      <c r="E56" s="79" t="s">
        <v>2729</v>
      </c>
      <c r="F56" s="18" t="s">
        <v>2730</v>
      </c>
      <c r="G56" s="79" t="s">
        <v>31</v>
      </c>
      <c r="H56" s="18" t="s">
        <v>1903</v>
      </c>
      <c r="I56" s="82" t="s">
        <v>24</v>
      </c>
      <c r="J56" s="38" t="s">
        <v>2731</v>
      </c>
      <c r="K56" s="150">
        <v>1935</v>
      </c>
      <c r="L56" s="38" t="s">
        <v>2732</v>
      </c>
      <c r="M56" s="93" t="s">
        <v>2771</v>
      </c>
    </row>
    <row r="57" spans="1:13" ht="12.75">
      <c r="A57" s="29">
        <v>1</v>
      </c>
      <c r="B57" s="410"/>
      <c r="C57" s="94" t="s">
        <v>4033</v>
      </c>
      <c r="D57" s="19" t="s">
        <v>2733</v>
      </c>
      <c r="E57" s="98" t="s">
        <v>1689</v>
      </c>
      <c r="F57" s="19" t="s">
        <v>2734</v>
      </c>
      <c r="G57" s="98" t="s">
        <v>31</v>
      </c>
      <c r="H57" s="19" t="s">
        <v>286</v>
      </c>
      <c r="I57" s="100" t="s">
        <v>24</v>
      </c>
      <c r="J57" s="41" t="s">
        <v>2718</v>
      </c>
      <c r="K57" s="152">
        <v>3010</v>
      </c>
      <c r="L57" s="41" t="s">
        <v>2735</v>
      </c>
      <c r="M57" s="95" t="s">
        <v>2093</v>
      </c>
    </row>
    <row r="58" spans="1:13" ht="12.75">
      <c r="A58" s="29"/>
      <c r="B58" s="410"/>
      <c r="C58" s="15"/>
      <c r="D58" s="15"/>
      <c r="E58" s="15"/>
      <c r="F58" s="15"/>
      <c r="G58" s="15"/>
      <c r="H58" s="15"/>
      <c r="I58" s="15"/>
      <c r="J58" s="15"/>
      <c r="K58" s="30"/>
      <c r="L58" s="15"/>
      <c r="M58" s="15"/>
    </row>
    <row r="59" spans="1:13" ht="15.75">
      <c r="A59" s="29"/>
      <c r="B59" s="410"/>
      <c r="C59" s="526" t="s">
        <v>304</v>
      </c>
      <c r="D59" s="526"/>
      <c r="E59" s="526"/>
      <c r="F59" s="526"/>
      <c r="G59" s="526"/>
      <c r="H59" s="526"/>
      <c r="I59" s="526"/>
      <c r="J59" s="526"/>
      <c r="K59" s="526"/>
      <c r="L59" s="526"/>
      <c r="M59" s="15"/>
    </row>
    <row r="60" spans="1:13" ht="12.75">
      <c r="A60" s="29">
        <v>1</v>
      </c>
      <c r="B60" s="410">
        <v>30</v>
      </c>
      <c r="C60" s="83" t="s">
        <v>4034</v>
      </c>
      <c r="D60" s="17" t="s">
        <v>2314</v>
      </c>
      <c r="E60" s="84" t="s">
        <v>2736</v>
      </c>
      <c r="F60" s="17" t="s">
        <v>2316</v>
      </c>
      <c r="G60" s="84" t="s">
        <v>2104</v>
      </c>
      <c r="H60" s="17" t="s">
        <v>1262</v>
      </c>
      <c r="I60" s="87" t="s">
        <v>446</v>
      </c>
      <c r="J60" s="35" t="s">
        <v>2678</v>
      </c>
      <c r="K60" s="151">
        <v>3795</v>
      </c>
      <c r="L60" s="35" t="s">
        <v>2737</v>
      </c>
      <c r="M60" s="88" t="s">
        <v>2318</v>
      </c>
    </row>
    <row r="61" spans="1:13" ht="12.75">
      <c r="A61" s="29">
        <v>2</v>
      </c>
      <c r="B61" s="410">
        <v>21</v>
      </c>
      <c r="C61" s="92" t="s">
        <v>4035</v>
      </c>
      <c r="D61" s="18" t="s">
        <v>2739</v>
      </c>
      <c r="E61" s="79" t="s">
        <v>544</v>
      </c>
      <c r="F61" s="18" t="s">
        <v>2740</v>
      </c>
      <c r="G61" s="79" t="s">
        <v>125</v>
      </c>
      <c r="H61" s="18" t="s">
        <v>2672</v>
      </c>
      <c r="I61" s="82" t="s">
        <v>544</v>
      </c>
      <c r="J61" s="38" t="s">
        <v>2741</v>
      </c>
      <c r="K61" s="150">
        <v>3262.5</v>
      </c>
      <c r="L61" s="38" t="s">
        <v>2742</v>
      </c>
      <c r="M61" s="93" t="s">
        <v>51</v>
      </c>
    </row>
    <row r="62" spans="1:13" ht="12.75">
      <c r="A62" s="29">
        <v>3</v>
      </c>
      <c r="B62" s="410">
        <v>8</v>
      </c>
      <c r="C62" s="92" t="s">
        <v>4036</v>
      </c>
      <c r="D62" s="18" t="s">
        <v>2748</v>
      </c>
      <c r="E62" s="79" t="s">
        <v>2749</v>
      </c>
      <c r="F62" s="18" t="s">
        <v>2750</v>
      </c>
      <c r="G62" s="79" t="s">
        <v>99</v>
      </c>
      <c r="H62" s="18" t="s">
        <v>152</v>
      </c>
      <c r="I62" s="82" t="s">
        <v>446</v>
      </c>
      <c r="J62" s="38" t="s">
        <v>2681</v>
      </c>
      <c r="K62" s="150">
        <v>2645</v>
      </c>
      <c r="L62" s="38" t="s">
        <v>2773</v>
      </c>
      <c r="M62" s="93" t="s">
        <v>51</v>
      </c>
    </row>
    <row r="63" spans="1:13" ht="12.75">
      <c r="A63" s="29">
        <v>4</v>
      </c>
      <c r="B63" s="410">
        <v>7</v>
      </c>
      <c r="C63" s="94" t="s">
        <v>4037</v>
      </c>
      <c r="D63" s="19" t="s">
        <v>2743</v>
      </c>
      <c r="E63" s="98" t="s">
        <v>2744</v>
      </c>
      <c r="F63" s="19" t="s">
        <v>2745</v>
      </c>
      <c r="G63" s="98" t="s">
        <v>130</v>
      </c>
      <c r="H63" s="19" t="s">
        <v>1225</v>
      </c>
      <c r="I63" s="100" t="s">
        <v>446</v>
      </c>
      <c r="J63" s="41" t="s">
        <v>2614</v>
      </c>
      <c r="K63" s="152">
        <v>2415</v>
      </c>
      <c r="L63" s="41" t="s">
        <v>2746</v>
      </c>
      <c r="M63" s="95" t="s">
        <v>2747</v>
      </c>
    </row>
    <row r="64" spans="1:13" ht="12.75">
      <c r="A64" s="29"/>
      <c r="B64" s="410"/>
      <c r="C64" s="15"/>
      <c r="D64" s="15"/>
      <c r="E64" s="15"/>
      <c r="F64" s="15"/>
      <c r="G64" s="15"/>
      <c r="H64" s="15"/>
      <c r="I64" s="15"/>
      <c r="J64" s="15"/>
      <c r="K64" s="30"/>
      <c r="L64" s="15"/>
      <c r="M64" s="15"/>
    </row>
    <row r="65" spans="1:13" ht="15.75">
      <c r="A65" s="29"/>
      <c r="B65" s="410"/>
      <c r="C65" s="508" t="s">
        <v>355</v>
      </c>
      <c r="D65" s="508"/>
      <c r="E65" s="508"/>
      <c r="F65" s="508"/>
      <c r="G65" s="508"/>
      <c r="H65" s="508"/>
      <c r="I65" s="508"/>
      <c r="J65" s="508"/>
      <c r="K65" s="508"/>
      <c r="L65" s="508"/>
      <c r="M65" s="15"/>
    </row>
    <row r="66" spans="1:13" ht="12.75">
      <c r="A66" s="29">
        <v>1</v>
      </c>
      <c r="B66" s="410">
        <v>12</v>
      </c>
      <c r="C66" s="17" t="s">
        <v>4038</v>
      </c>
      <c r="D66" s="88" t="s">
        <v>2751</v>
      </c>
      <c r="E66" s="88" t="s">
        <v>2752</v>
      </c>
      <c r="F66" s="88" t="s">
        <v>2753</v>
      </c>
      <c r="G66" s="88" t="s">
        <v>301</v>
      </c>
      <c r="H66" s="88" t="s">
        <v>302</v>
      </c>
      <c r="I66" s="110" t="s">
        <v>100</v>
      </c>
      <c r="J66" s="110" t="s">
        <v>2731</v>
      </c>
      <c r="K66" s="167">
        <v>2295</v>
      </c>
      <c r="L66" s="110" t="s">
        <v>2754</v>
      </c>
      <c r="M66" s="88" t="s">
        <v>51</v>
      </c>
    </row>
    <row r="67" spans="1:13" ht="12.75">
      <c r="A67" s="29">
        <v>2</v>
      </c>
      <c r="B67" s="410">
        <v>9</v>
      </c>
      <c r="C67" s="19" t="s">
        <v>4039</v>
      </c>
      <c r="D67" s="95" t="s">
        <v>1189</v>
      </c>
      <c r="E67" s="95" t="s">
        <v>1963</v>
      </c>
      <c r="F67" s="95" t="s">
        <v>2755</v>
      </c>
      <c r="G67" s="95" t="s">
        <v>301</v>
      </c>
      <c r="H67" s="95" t="s">
        <v>1903</v>
      </c>
      <c r="I67" s="111" t="s">
        <v>598</v>
      </c>
      <c r="J67" s="111" t="s">
        <v>2756</v>
      </c>
      <c r="K67" s="168">
        <v>1787.5</v>
      </c>
      <c r="L67" s="111" t="s">
        <v>2757</v>
      </c>
      <c r="M67" s="95" t="s">
        <v>1190</v>
      </c>
    </row>
    <row r="68" spans="1:13" ht="12.75">
      <c r="A68" s="29"/>
      <c r="B68" s="410"/>
      <c r="C68" s="15"/>
      <c r="D68" s="15"/>
      <c r="E68" s="15"/>
      <c r="F68" s="15"/>
      <c r="G68" s="15"/>
      <c r="H68" s="15"/>
      <c r="I68" s="15"/>
      <c r="J68" s="15"/>
      <c r="K68" s="30"/>
      <c r="L68" s="15"/>
      <c r="M68" s="15"/>
    </row>
    <row r="69" spans="1:13" ht="18">
      <c r="A69" s="29"/>
      <c r="B69" s="410"/>
      <c r="C69" s="16" t="s">
        <v>370</v>
      </c>
      <c r="D69" s="16"/>
      <c r="E69" s="15"/>
      <c r="F69" s="15"/>
      <c r="G69" s="15"/>
      <c r="H69" s="15"/>
      <c r="I69" s="15"/>
      <c r="J69" s="15"/>
      <c r="K69" s="30"/>
      <c r="L69" s="15"/>
      <c r="M69" s="15"/>
    </row>
    <row r="70" spans="1:13" ht="15.75">
      <c r="A70" s="29"/>
      <c r="B70" s="410"/>
      <c r="C70" s="22" t="s">
        <v>371</v>
      </c>
      <c r="D70" s="22"/>
      <c r="E70" s="15"/>
      <c r="F70" s="15"/>
      <c r="G70" s="15"/>
      <c r="H70" s="15"/>
      <c r="I70" s="15"/>
      <c r="J70" s="15"/>
      <c r="K70" s="30"/>
      <c r="L70" s="15"/>
      <c r="M70" s="15"/>
    </row>
    <row r="71" spans="1:13" ht="13.5">
      <c r="A71" s="29"/>
      <c r="B71" s="410"/>
      <c r="C71" s="24"/>
      <c r="D71" s="25" t="s">
        <v>2102</v>
      </c>
      <c r="E71" s="15"/>
      <c r="F71" s="15"/>
      <c r="G71" s="15"/>
      <c r="H71" s="15"/>
      <c r="I71" s="15"/>
      <c r="J71" s="15"/>
      <c r="K71" s="30"/>
      <c r="L71" s="15"/>
      <c r="M71" s="15"/>
    </row>
    <row r="72" spans="1:13" ht="13.5">
      <c r="A72" s="29"/>
      <c r="B72" s="410"/>
      <c r="C72" s="26" t="s">
        <v>373</v>
      </c>
      <c r="D72" s="181" t="s">
        <v>374</v>
      </c>
      <c r="E72" s="181" t="s">
        <v>375</v>
      </c>
      <c r="F72" s="181" t="s">
        <v>376</v>
      </c>
      <c r="G72" s="181" t="s">
        <v>2319</v>
      </c>
      <c r="H72" s="15"/>
      <c r="I72" s="15"/>
      <c r="J72" s="15"/>
      <c r="K72" s="30"/>
      <c r="L72" s="15"/>
      <c r="M72" s="15"/>
    </row>
    <row r="73" spans="1:13" ht="12.75">
      <c r="A73" s="29">
        <v>1</v>
      </c>
      <c r="B73" s="410"/>
      <c r="C73" s="220" t="s">
        <v>60</v>
      </c>
      <c r="D73" s="222" t="s">
        <v>372</v>
      </c>
      <c r="E73" s="222" t="s">
        <v>2186</v>
      </c>
      <c r="F73" s="222" t="s">
        <v>2768</v>
      </c>
      <c r="G73" s="221" t="s">
        <v>2772</v>
      </c>
      <c r="H73" s="15"/>
      <c r="I73" s="15"/>
      <c r="J73" s="15"/>
      <c r="K73" s="30"/>
      <c r="L73" s="15"/>
      <c r="M73" s="15"/>
    </row>
    <row r="74" spans="1:13" ht="12.75">
      <c r="A74" s="29">
        <v>2</v>
      </c>
      <c r="B74" s="410"/>
      <c r="C74" s="90" t="s">
        <v>28</v>
      </c>
      <c r="D74" s="49" t="s">
        <v>372</v>
      </c>
      <c r="E74" s="49" t="s">
        <v>2261</v>
      </c>
      <c r="F74" s="49" t="s">
        <v>2758</v>
      </c>
      <c r="G74" s="50" t="s">
        <v>2615</v>
      </c>
      <c r="H74" s="15"/>
      <c r="I74" s="15"/>
      <c r="J74" s="15"/>
      <c r="K74" s="30"/>
      <c r="L74" s="15"/>
      <c r="M74" s="15"/>
    </row>
    <row r="75" spans="1:13" ht="12.75">
      <c r="A75" s="29">
        <v>3</v>
      </c>
      <c r="B75" s="410"/>
      <c r="C75" s="90" t="s">
        <v>2606</v>
      </c>
      <c r="D75" s="49" t="s">
        <v>372</v>
      </c>
      <c r="E75" s="49" t="s">
        <v>764</v>
      </c>
      <c r="F75" s="49" t="s">
        <v>2759</v>
      </c>
      <c r="G75" s="50" t="s">
        <v>2611</v>
      </c>
      <c r="H75" s="15"/>
      <c r="I75" s="15"/>
      <c r="J75" s="15"/>
      <c r="K75" s="30"/>
      <c r="L75" s="15"/>
      <c r="M75" s="15"/>
    </row>
    <row r="76" spans="1:13" ht="12.75">
      <c r="A76" s="29"/>
      <c r="B76" s="410"/>
      <c r="C76" s="15"/>
      <c r="D76" s="49"/>
      <c r="E76" s="49"/>
      <c r="F76" s="49"/>
      <c r="G76" s="49"/>
      <c r="H76" s="15"/>
      <c r="I76" s="15"/>
      <c r="J76" s="15"/>
      <c r="K76" s="30"/>
      <c r="L76" s="15"/>
      <c r="M76" s="15"/>
    </row>
    <row r="77" spans="1:13" ht="15.75">
      <c r="A77" s="29"/>
      <c r="B77" s="410"/>
      <c r="C77" s="22" t="s">
        <v>387</v>
      </c>
      <c r="D77" s="78"/>
      <c r="E77" s="49"/>
      <c r="F77" s="49"/>
      <c r="G77" s="49"/>
      <c r="H77" s="15"/>
      <c r="I77" s="15"/>
      <c r="J77" s="15"/>
      <c r="K77" s="30"/>
      <c r="L77" s="15"/>
      <c r="M77" s="15"/>
    </row>
    <row r="78" spans="1:13" ht="13.5">
      <c r="A78" s="29"/>
      <c r="B78" s="410"/>
      <c r="C78" s="24"/>
      <c r="D78" s="118" t="s">
        <v>2102</v>
      </c>
      <c r="E78" s="49"/>
      <c r="F78" s="49"/>
      <c r="G78" s="49"/>
      <c r="H78" s="15"/>
      <c r="I78" s="15"/>
      <c r="J78" s="15"/>
      <c r="K78" s="30"/>
      <c r="L78" s="15"/>
      <c r="M78" s="15"/>
    </row>
    <row r="79" spans="1:13" ht="13.5">
      <c r="A79" s="29"/>
      <c r="B79" s="410"/>
      <c r="C79" s="26" t="s">
        <v>373</v>
      </c>
      <c r="D79" s="181" t="s">
        <v>374</v>
      </c>
      <c r="E79" s="181" t="s">
        <v>375</v>
      </c>
      <c r="F79" s="181" t="s">
        <v>376</v>
      </c>
      <c r="G79" s="181" t="s">
        <v>2319</v>
      </c>
      <c r="H79" s="15"/>
      <c r="I79" s="15"/>
      <c r="J79" s="15"/>
      <c r="K79" s="30"/>
      <c r="L79" s="15"/>
      <c r="M79" s="15"/>
    </row>
    <row r="80" spans="1:13" ht="12.75">
      <c r="A80" s="29">
        <v>1</v>
      </c>
      <c r="B80" s="410"/>
      <c r="C80" s="90" t="s">
        <v>2639</v>
      </c>
      <c r="D80" s="49" t="s">
        <v>395</v>
      </c>
      <c r="E80" s="49" t="s">
        <v>1646</v>
      </c>
      <c r="F80" s="49" t="s">
        <v>2760</v>
      </c>
      <c r="G80" s="50" t="s">
        <v>2643</v>
      </c>
      <c r="H80" s="15"/>
      <c r="I80" s="15"/>
      <c r="J80" s="15"/>
      <c r="K80" s="30"/>
      <c r="L80" s="15"/>
      <c r="M80" s="15"/>
    </row>
    <row r="81" spans="1:13" ht="12.75">
      <c r="A81" s="29">
        <v>2</v>
      </c>
      <c r="B81" s="410"/>
      <c r="C81" s="90" t="s">
        <v>2691</v>
      </c>
      <c r="D81" s="49" t="s">
        <v>395</v>
      </c>
      <c r="E81" s="49" t="s">
        <v>397</v>
      </c>
      <c r="F81" s="49" t="s">
        <v>2761</v>
      </c>
      <c r="G81" s="50" t="s">
        <v>2696</v>
      </c>
      <c r="H81" s="15"/>
      <c r="I81" s="15"/>
      <c r="J81" s="15"/>
      <c r="K81" s="30"/>
      <c r="L81" s="15"/>
      <c r="M81" s="15"/>
    </row>
    <row r="82" spans="1:13" ht="12.75">
      <c r="A82" s="29">
        <v>3</v>
      </c>
      <c r="B82" s="410"/>
      <c r="C82" s="90" t="s">
        <v>184</v>
      </c>
      <c r="D82" s="49" t="s">
        <v>395</v>
      </c>
      <c r="E82" s="49" t="s">
        <v>397</v>
      </c>
      <c r="F82" s="49" t="s">
        <v>2762</v>
      </c>
      <c r="G82" s="50" t="s">
        <v>2699</v>
      </c>
      <c r="H82" s="15"/>
      <c r="I82" s="15"/>
      <c r="J82" s="15"/>
      <c r="K82" s="30"/>
      <c r="L82" s="15"/>
      <c r="M82" s="15"/>
    </row>
    <row r="83" spans="1:13" ht="13.5">
      <c r="A83" s="29"/>
      <c r="B83" s="410"/>
      <c r="C83" s="24"/>
      <c r="D83" s="118" t="s">
        <v>2102</v>
      </c>
      <c r="E83" s="49"/>
      <c r="F83" s="49"/>
      <c r="G83" s="49"/>
      <c r="H83" s="15"/>
      <c r="I83" s="15"/>
      <c r="J83" s="15"/>
      <c r="K83" s="30"/>
      <c r="L83" s="15"/>
      <c r="M83" s="15"/>
    </row>
    <row r="84" spans="1:13" ht="13.5">
      <c r="A84" s="29"/>
      <c r="B84" s="410"/>
      <c r="C84" s="26" t="s">
        <v>373</v>
      </c>
      <c r="D84" s="181" t="s">
        <v>374</v>
      </c>
      <c r="E84" s="181" t="s">
        <v>375</v>
      </c>
      <c r="F84" s="181" t="s">
        <v>376</v>
      </c>
      <c r="G84" s="181" t="s">
        <v>2319</v>
      </c>
      <c r="H84" s="15"/>
      <c r="I84" s="15"/>
      <c r="J84" s="15"/>
      <c r="K84" s="30"/>
      <c r="L84" s="15"/>
      <c r="M84" s="15"/>
    </row>
    <row r="85" spans="1:13" ht="12.75">
      <c r="A85" s="29">
        <v>1</v>
      </c>
      <c r="B85" s="410"/>
      <c r="C85" s="90" t="s">
        <v>2622</v>
      </c>
      <c r="D85" s="49" t="s">
        <v>372</v>
      </c>
      <c r="E85" s="49" t="s">
        <v>383</v>
      </c>
      <c r="F85" s="49" t="s">
        <v>2763</v>
      </c>
      <c r="G85" s="50" t="s">
        <v>2628</v>
      </c>
      <c r="H85" s="15"/>
      <c r="I85" s="15"/>
      <c r="J85" s="15"/>
      <c r="K85" s="30"/>
      <c r="L85" s="15"/>
      <c r="M85" s="15"/>
    </row>
    <row r="86" spans="1:13" ht="12.75">
      <c r="A86" s="29">
        <v>2</v>
      </c>
      <c r="B86" s="410"/>
      <c r="C86" s="90" t="s">
        <v>234</v>
      </c>
      <c r="D86" s="49" t="s">
        <v>372</v>
      </c>
      <c r="E86" s="49" t="s">
        <v>392</v>
      </c>
      <c r="F86" s="49" t="s">
        <v>2764</v>
      </c>
      <c r="G86" s="50" t="s">
        <v>2721</v>
      </c>
      <c r="H86" s="15"/>
      <c r="I86" s="15"/>
      <c r="J86" s="15"/>
      <c r="K86" s="30"/>
      <c r="L86" s="15"/>
      <c r="M86" s="15"/>
    </row>
    <row r="87" spans="1:13" ht="12.75">
      <c r="A87" s="29">
        <v>3</v>
      </c>
      <c r="B87" s="410"/>
      <c r="C87" s="90" t="s">
        <v>2722</v>
      </c>
      <c r="D87" s="49" t="s">
        <v>372</v>
      </c>
      <c r="E87" s="49" t="s">
        <v>392</v>
      </c>
      <c r="F87" s="49" t="s">
        <v>2765</v>
      </c>
      <c r="G87" s="50" t="s">
        <v>2725</v>
      </c>
      <c r="H87" s="15"/>
      <c r="I87" s="15"/>
      <c r="J87" s="15"/>
      <c r="K87" s="30"/>
      <c r="L87" s="15"/>
      <c r="M87" s="15"/>
    </row>
    <row r="88" spans="1:13" ht="13.5">
      <c r="A88" s="29"/>
      <c r="B88" s="410"/>
      <c r="C88" s="24"/>
      <c r="D88" s="118" t="s">
        <v>2102</v>
      </c>
      <c r="E88" s="49"/>
      <c r="F88" s="49"/>
      <c r="G88" s="49"/>
      <c r="H88" s="15"/>
      <c r="I88" s="15"/>
      <c r="J88" s="15"/>
      <c r="K88" s="30"/>
      <c r="L88" s="15"/>
      <c r="M88" s="15"/>
    </row>
    <row r="89" spans="1:13" ht="13.5">
      <c r="A89" s="29"/>
      <c r="B89" s="410"/>
      <c r="C89" s="26" t="s">
        <v>373</v>
      </c>
      <c r="D89" s="181" t="s">
        <v>374</v>
      </c>
      <c r="E89" s="181" t="s">
        <v>375</v>
      </c>
      <c r="F89" s="181" t="s">
        <v>376</v>
      </c>
      <c r="G89" s="181" t="s">
        <v>2319</v>
      </c>
      <c r="H89" s="15"/>
      <c r="I89" s="15"/>
      <c r="J89" s="15"/>
      <c r="K89" s="30"/>
      <c r="L89" s="15"/>
      <c r="M89" s="15"/>
    </row>
    <row r="90" spans="1:13" ht="12.75">
      <c r="A90" s="29">
        <v>1</v>
      </c>
      <c r="B90" s="410"/>
      <c r="C90" s="90" t="s">
        <v>2651</v>
      </c>
      <c r="D90" s="49" t="s">
        <v>2437</v>
      </c>
      <c r="E90" s="49" t="s">
        <v>1646</v>
      </c>
      <c r="F90" s="49" t="s">
        <v>2767</v>
      </c>
      <c r="G90" s="50" t="s">
        <v>2658</v>
      </c>
      <c r="H90" s="15"/>
      <c r="I90" s="15"/>
      <c r="J90" s="15"/>
      <c r="K90" s="30"/>
      <c r="L90" s="15"/>
      <c r="M90" s="15"/>
    </row>
    <row r="91" spans="1:13" ht="12.75">
      <c r="A91" s="29">
        <v>2</v>
      </c>
      <c r="B91" s="410"/>
      <c r="C91" s="90" t="s">
        <v>2631</v>
      </c>
      <c r="D91" s="49" t="s">
        <v>2437</v>
      </c>
      <c r="E91" s="49" t="s">
        <v>2127</v>
      </c>
      <c r="F91" s="49" t="s">
        <v>2776</v>
      </c>
      <c r="G91" s="50" t="s">
        <v>2775</v>
      </c>
      <c r="H91" s="15"/>
      <c r="I91" s="15"/>
      <c r="J91" s="15"/>
      <c r="K91" s="30"/>
      <c r="L91" s="15"/>
      <c r="M91" s="15"/>
    </row>
    <row r="92" spans="1:13" ht="12.75">
      <c r="A92" s="29">
        <v>3</v>
      </c>
      <c r="B92" s="410"/>
      <c r="C92" s="90" t="s">
        <v>2645</v>
      </c>
      <c r="D92" s="49" t="s">
        <v>2437</v>
      </c>
      <c r="E92" s="49" t="s">
        <v>1646</v>
      </c>
      <c r="F92" s="49" t="s">
        <v>2766</v>
      </c>
      <c r="G92" s="50" t="s">
        <v>2650</v>
      </c>
      <c r="H92" s="15"/>
      <c r="I92" s="15"/>
      <c r="J92" s="15"/>
      <c r="K92" s="30"/>
      <c r="L92" s="15"/>
      <c r="M92" s="15"/>
    </row>
    <row r="93" spans="1:13" ht="12.75">
      <c r="A93" s="29"/>
      <c r="B93" s="410"/>
      <c r="C93" s="15"/>
      <c r="D93" s="15"/>
      <c r="E93" s="15"/>
      <c r="F93" s="15"/>
      <c r="G93" s="15"/>
      <c r="H93" s="15"/>
      <c r="I93" s="15"/>
      <c r="J93" s="15"/>
      <c r="K93" s="30"/>
      <c r="L93" s="15"/>
      <c r="M93" s="15"/>
    </row>
    <row r="94" spans="1:13" ht="12.75">
      <c r="A94" s="29"/>
      <c r="B94" s="410"/>
      <c r="C94" s="15"/>
      <c r="D94" s="15"/>
      <c r="E94" s="15"/>
      <c r="F94" s="15"/>
      <c r="G94" s="15"/>
      <c r="H94" s="15"/>
      <c r="I94" s="15"/>
      <c r="J94" s="15"/>
      <c r="K94" s="30"/>
      <c r="L94" s="15"/>
      <c r="M94" s="15"/>
    </row>
    <row r="95" spans="1:13" ht="12.75">
      <c r="A95" s="29"/>
      <c r="B95" s="410"/>
      <c r="C95" s="15"/>
      <c r="D95" s="15"/>
      <c r="E95" s="15"/>
      <c r="F95" s="15"/>
      <c r="G95" s="15"/>
      <c r="H95" s="15"/>
      <c r="I95" s="15"/>
      <c r="J95" s="15"/>
      <c r="K95" s="30"/>
      <c r="L95" s="15"/>
      <c r="M95" s="15"/>
    </row>
    <row r="96" spans="1:13" ht="12.75">
      <c r="A96" s="29"/>
      <c r="B96" s="410"/>
      <c r="C96" s="15"/>
      <c r="D96" s="15"/>
      <c r="E96" s="15"/>
      <c r="F96" s="15"/>
      <c r="G96" s="15"/>
      <c r="H96" s="15"/>
      <c r="I96" s="15"/>
      <c r="J96" s="15"/>
      <c r="K96" s="30"/>
      <c r="L96" s="15"/>
      <c r="M96" s="15"/>
    </row>
    <row r="97" spans="1:13" ht="12.75">
      <c r="A97" s="29"/>
      <c r="B97" s="410"/>
      <c r="C97" s="15"/>
      <c r="D97" s="15"/>
      <c r="E97" s="15"/>
      <c r="F97" s="15"/>
      <c r="G97" s="15"/>
      <c r="H97" s="15"/>
      <c r="I97" s="15"/>
      <c r="J97" s="15"/>
      <c r="K97" s="30"/>
      <c r="L97" s="15"/>
      <c r="M97" s="15"/>
    </row>
    <row r="98" spans="1:13" ht="12.75">
      <c r="A98" s="29"/>
      <c r="B98" s="410"/>
      <c r="C98" s="15"/>
      <c r="D98" s="15"/>
      <c r="E98" s="15"/>
      <c r="F98" s="15"/>
      <c r="G98" s="15"/>
      <c r="H98" s="15"/>
      <c r="I98" s="15"/>
      <c r="J98" s="15"/>
      <c r="K98" s="30"/>
      <c r="L98" s="15"/>
      <c r="M98" s="15"/>
    </row>
    <row r="99" spans="1:13" ht="12.75">
      <c r="A99" s="29"/>
      <c r="B99" s="410"/>
      <c r="C99" s="15"/>
      <c r="D99" s="15"/>
      <c r="E99" s="15"/>
      <c r="F99" s="15"/>
      <c r="G99" s="15"/>
      <c r="H99" s="15"/>
      <c r="I99" s="15"/>
      <c r="J99" s="15"/>
      <c r="K99" s="30"/>
      <c r="L99" s="15"/>
      <c r="M99" s="15"/>
    </row>
    <row r="100" spans="1:13" ht="12.75">
      <c r="A100" s="29"/>
      <c r="B100" s="410"/>
      <c r="C100" s="15"/>
      <c r="D100" s="15"/>
      <c r="E100" s="15"/>
      <c r="F100" s="15"/>
      <c r="G100" s="15"/>
      <c r="H100" s="15"/>
      <c r="I100" s="15"/>
      <c r="J100" s="15"/>
      <c r="K100" s="30"/>
      <c r="L100" s="15"/>
      <c r="M100" s="15"/>
    </row>
  </sheetData>
  <sheetProtection/>
  <mergeCells count="25">
    <mergeCell ref="B3:B4"/>
    <mergeCell ref="C1:M1"/>
    <mergeCell ref="C2:M2"/>
    <mergeCell ref="A3:A4"/>
    <mergeCell ref="C3:C4"/>
    <mergeCell ref="D3:D4"/>
    <mergeCell ref="E3:E4"/>
    <mergeCell ref="F3:F4"/>
    <mergeCell ref="G3:G4"/>
    <mergeCell ref="H3:H4"/>
    <mergeCell ref="I3:J3"/>
    <mergeCell ref="K3:K4"/>
    <mergeCell ref="L3:L4"/>
    <mergeCell ref="M3:M4"/>
    <mergeCell ref="C5:L5"/>
    <mergeCell ref="C8:L8"/>
    <mergeCell ref="C11:L11"/>
    <mergeCell ref="C59:L59"/>
    <mergeCell ref="C65:L65"/>
    <mergeCell ref="C14:L14"/>
    <mergeCell ref="C17:L17"/>
    <mergeCell ref="C22:L22"/>
    <mergeCell ref="C30:L30"/>
    <mergeCell ref="C41:L41"/>
    <mergeCell ref="C51:L51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33">
      <selection activeCell="C43" sqref="C43"/>
    </sheetView>
  </sheetViews>
  <sheetFormatPr defaultColWidth="11.375" defaultRowHeight="12.75"/>
  <cols>
    <col min="1" max="1" width="8.25390625" style="0" customWidth="1"/>
    <col min="2" max="2" width="11.125" style="409" customWidth="1"/>
    <col min="3" max="3" width="26.125" style="0" customWidth="1"/>
    <col min="4" max="4" width="25.00390625" style="0" customWidth="1"/>
    <col min="5" max="5" width="9.625" style="0" customWidth="1"/>
    <col min="6" max="6" width="11.375" style="0" customWidth="1"/>
    <col min="7" max="7" width="21.00390625" style="0" customWidth="1"/>
    <col min="8" max="8" width="26.875" style="0" customWidth="1"/>
    <col min="9" max="12" width="5.375" style="0" customWidth="1"/>
    <col min="13" max="13" width="9.375" style="0" customWidth="1"/>
    <col min="14" max="14" width="11.375" style="0" customWidth="1"/>
    <col min="15" max="15" width="15.25390625" style="0" customWidth="1"/>
  </cols>
  <sheetData>
    <row r="1" spans="1:15" ht="57.75" customHeight="1">
      <c r="A1" s="82"/>
      <c r="B1" s="399"/>
      <c r="C1" s="509" t="s">
        <v>2515</v>
      </c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</row>
    <row r="2" spans="1:15" ht="39" customHeight="1" thickBot="1">
      <c r="A2" s="82"/>
      <c r="B2" s="399"/>
      <c r="C2" s="509" t="s">
        <v>2322</v>
      </c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</row>
    <row r="3" spans="1:15" ht="24" customHeight="1">
      <c r="A3" s="512" t="s">
        <v>1627</v>
      </c>
      <c r="B3" s="516" t="s">
        <v>4516</v>
      </c>
      <c r="C3" s="514" t="s">
        <v>0</v>
      </c>
      <c r="D3" s="516" t="s">
        <v>2271</v>
      </c>
      <c r="E3" s="516" t="s">
        <v>1629</v>
      </c>
      <c r="F3" s="514" t="s">
        <v>2272</v>
      </c>
      <c r="G3" s="514" t="s">
        <v>7</v>
      </c>
      <c r="H3" s="514" t="s">
        <v>3275</v>
      </c>
      <c r="I3" s="514" t="s">
        <v>2</v>
      </c>
      <c r="J3" s="514"/>
      <c r="K3" s="514"/>
      <c r="L3" s="514"/>
      <c r="M3" s="514" t="s">
        <v>1672</v>
      </c>
      <c r="N3" s="514" t="s">
        <v>6</v>
      </c>
      <c r="O3" s="510" t="s">
        <v>5</v>
      </c>
    </row>
    <row r="4" spans="1:15" ht="15" thickBot="1">
      <c r="A4" s="513"/>
      <c r="B4" s="517"/>
      <c r="C4" s="515"/>
      <c r="D4" s="517"/>
      <c r="E4" s="517"/>
      <c r="F4" s="515"/>
      <c r="G4" s="515"/>
      <c r="H4" s="515"/>
      <c r="I4" s="457" t="s">
        <v>2208</v>
      </c>
      <c r="J4" s="457" t="s">
        <v>2209</v>
      </c>
      <c r="K4" s="457" t="s">
        <v>2210</v>
      </c>
      <c r="L4" s="457" t="s">
        <v>8</v>
      </c>
      <c r="M4" s="515"/>
      <c r="N4" s="515"/>
      <c r="O4" s="511"/>
    </row>
    <row r="5" spans="1:15" ht="15.75">
      <c r="A5" s="29"/>
      <c r="B5" s="410"/>
      <c r="C5" s="508" t="s">
        <v>412</v>
      </c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15"/>
    </row>
    <row r="6" spans="1:15" ht="12.75">
      <c r="A6" s="29">
        <v>1</v>
      </c>
      <c r="B6" s="410">
        <v>30</v>
      </c>
      <c r="C6" s="20" t="s">
        <v>4040</v>
      </c>
      <c r="D6" s="210" t="s">
        <v>1432</v>
      </c>
      <c r="E6" s="210" t="s">
        <v>1758</v>
      </c>
      <c r="F6" s="210" t="s">
        <v>2516</v>
      </c>
      <c r="G6" s="210" t="s">
        <v>14</v>
      </c>
      <c r="H6" s="210" t="s">
        <v>1903</v>
      </c>
      <c r="I6" s="216" t="s">
        <v>94</v>
      </c>
      <c r="J6" s="209" t="s">
        <v>55</v>
      </c>
      <c r="K6" s="136" t="s">
        <v>57</v>
      </c>
      <c r="L6" s="201"/>
      <c r="M6" s="200" t="s">
        <v>55</v>
      </c>
      <c r="N6" s="200" t="s">
        <v>2517</v>
      </c>
      <c r="O6" s="210" t="s">
        <v>1664</v>
      </c>
    </row>
    <row r="7" spans="1:15" ht="12.75">
      <c r="A7" s="29"/>
      <c r="B7" s="410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.75">
      <c r="A8" s="29"/>
      <c r="B8" s="410"/>
      <c r="C8" s="508" t="s">
        <v>66</v>
      </c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15"/>
    </row>
    <row r="9" spans="1:15" ht="12.75">
      <c r="A9" s="29">
        <v>1</v>
      </c>
      <c r="B9" s="410">
        <v>30</v>
      </c>
      <c r="C9" s="20" t="s">
        <v>4041</v>
      </c>
      <c r="D9" s="210" t="s">
        <v>2518</v>
      </c>
      <c r="E9" s="210" t="s">
        <v>1630</v>
      </c>
      <c r="F9" s="210" t="s">
        <v>2519</v>
      </c>
      <c r="G9" s="210" t="s">
        <v>14</v>
      </c>
      <c r="H9" s="210" t="s">
        <v>1903</v>
      </c>
      <c r="I9" s="216" t="s">
        <v>416</v>
      </c>
      <c r="J9" s="209" t="s">
        <v>57</v>
      </c>
      <c r="K9" s="209" t="s">
        <v>48</v>
      </c>
      <c r="L9" s="136" t="s">
        <v>513</v>
      </c>
      <c r="M9" s="200" t="s">
        <v>48</v>
      </c>
      <c r="N9" s="200" t="s">
        <v>2520</v>
      </c>
      <c r="O9" s="210" t="s">
        <v>1665</v>
      </c>
    </row>
    <row r="10" spans="1:15" ht="12.75">
      <c r="A10" s="29"/>
      <c r="B10" s="410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5.75">
      <c r="A11" s="29"/>
      <c r="B11" s="410"/>
      <c r="C11" s="508" t="s">
        <v>18</v>
      </c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15"/>
    </row>
    <row r="12" spans="1:15" ht="12.75">
      <c r="A12" s="29">
        <v>1</v>
      </c>
      <c r="B12" s="410"/>
      <c r="C12" s="20" t="s">
        <v>2521</v>
      </c>
      <c r="D12" s="210" t="s">
        <v>2522</v>
      </c>
      <c r="E12" s="210" t="s">
        <v>2523</v>
      </c>
      <c r="F12" s="210" t="s">
        <v>2524</v>
      </c>
      <c r="G12" s="210" t="s">
        <v>31</v>
      </c>
      <c r="H12" s="210" t="s">
        <v>1903</v>
      </c>
      <c r="I12" s="216" t="s">
        <v>16</v>
      </c>
      <c r="J12" s="136" t="s">
        <v>71</v>
      </c>
      <c r="K12" s="136" t="s">
        <v>71</v>
      </c>
      <c r="L12" s="201"/>
      <c r="M12" s="200" t="s">
        <v>16</v>
      </c>
      <c r="N12" s="200" t="s">
        <v>2601</v>
      </c>
      <c r="O12" s="210" t="s">
        <v>2059</v>
      </c>
    </row>
    <row r="13" spans="1:15" ht="12.75">
      <c r="A13" s="29"/>
      <c r="B13" s="410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5.75">
      <c r="A14" s="29"/>
      <c r="B14" s="410"/>
      <c r="C14" s="508" t="s">
        <v>42</v>
      </c>
      <c r="D14" s="508"/>
      <c r="E14" s="508"/>
      <c r="F14" s="508"/>
      <c r="G14" s="508"/>
      <c r="H14" s="508"/>
      <c r="I14" s="508"/>
      <c r="J14" s="508"/>
      <c r="K14" s="508"/>
      <c r="L14" s="508"/>
      <c r="M14" s="508"/>
      <c r="N14" s="508"/>
      <c r="O14" s="15"/>
    </row>
    <row r="15" spans="1:15" ht="12.75">
      <c r="A15" s="29">
        <v>1</v>
      </c>
      <c r="B15" s="410">
        <v>12</v>
      </c>
      <c r="C15" s="17" t="s">
        <v>4042</v>
      </c>
      <c r="D15" s="88" t="s">
        <v>2525</v>
      </c>
      <c r="E15" s="88" t="s">
        <v>2526</v>
      </c>
      <c r="F15" s="88" t="s">
        <v>2527</v>
      </c>
      <c r="G15" s="88" t="s">
        <v>125</v>
      </c>
      <c r="H15" s="88" t="s">
        <v>815</v>
      </c>
      <c r="I15" s="206" t="s">
        <v>48</v>
      </c>
      <c r="J15" s="121" t="s">
        <v>474</v>
      </c>
      <c r="K15" s="121" t="s">
        <v>495</v>
      </c>
      <c r="L15" s="101"/>
      <c r="M15" s="110" t="s">
        <v>48</v>
      </c>
      <c r="N15" s="110" t="s">
        <v>2528</v>
      </c>
      <c r="O15" s="88" t="s">
        <v>2529</v>
      </c>
    </row>
    <row r="16" spans="1:15" ht="12.75">
      <c r="A16" s="29">
        <v>1</v>
      </c>
      <c r="B16" s="410">
        <v>24</v>
      </c>
      <c r="C16" s="19" t="s">
        <v>4043</v>
      </c>
      <c r="D16" s="95" t="s">
        <v>2530</v>
      </c>
      <c r="E16" s="95" t="s">
        <v>1917</v>
      </c>
      <c r="F16" s="95" t="s">
        <v>2531</v>
      </c>
      <c r="G16" s="95" t="s">
        <v>130</v>
      </c>
      <c r="H16" s="95" t="s">
        <v>1903</v>
      </c>
      <c r="I16" s="218" t="s">
        <v>303</v>
      </c>
      <c r="J16" s="112" t="s">
        <v>471</v>
      </c>
      <c r="K16" s="112" t="s">
        <v>471</v>
      </c>
      <c r="L16" s="109"/>
      <c r="M16" s="111" t="s">
        <v>303</v>
      </c>
      <c r="N16" s="111" t="s">
        <v>2602</v>
      </c>
      <c r="O16" s="95" t="s">
        <v>51</v>
      </c>
    </row>
    <row r="17" spans="1:15" ht="12.75">
      <c r="A17" s="29"/>
      <c r="B17" s="4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5.75">
      <c r="A18" s="29"/>
      <c r="B18" s="410"/>
      <c r="C18" s="508" t="s">
        <v>42</v>
      </c>
      <c r="D18" s="508"/>
      <c r="E18" s="508"/>
      <c r="F18" s="508"/>
      <c r="G18" s="508"/>
      <c r="H18" s="508"/>
      <c r="I18" s="508"/>
      <c r="J18" s="508"/>
      <c r="K18" s="508"/>
      <c r="L18" s="508"/>
      <c r="M18" s="508"/>
      <c r="N18" s="508"/>
      <c r="O18" s="15"/>
    </row>
    <row r="19" spans="1:15" ht="12.75">
      <c r="A19" s="29">
        <v>1</v>
      </c>
      <c r="B19" s="410">
        <v>36</v>
      </c>
      <c r="C19" s="17" t="s">
        <v>4044</v>
      </c>
      <c r="D19" s="88" t="s">
        <v>2533</v>
      </c>
      <c r="E19" s="88" t="s">
        <v>1652</v>
      </c>
      <c r="F19" s="88" t="s">
        <v>2534</v>
      </c>
      <c r="G19" s="88" t="s">
        <v>2348</v>
      </c>
      <c r="H19" s="88" t="s">
        <v>267</v>
      </c>
      <c r="I19" s="206" t="s">
        <v>108</v>
      </c>
      <c r="J19" s="206" t="s">
        <v>109</v>
      </c>
      <c r="K19" s="110"/>
      <c r="L19" s="101"/>
      <c r="M19" s="110" t="s">
        <v>109</v>
      </c>
      <c r="N19" s="110" t="s">
        <v>2535</v>
      </c>
      <c r="O19" s="88" t="s">
        <v>51</v>
      </c>
    </row>
    <row r="20" spans="1:15" ht="12.75">
      <c r="A20" s="29">
        <v>2</v>
      </c>
      <c r="B20" s="410">
        <v>21</v>
      </c>
      <c r="C20" s="18" t="s">
        <v>4045</v>
      </c>
      <c r="D20" s="93" t="s">
        <v>2536</v>
      </c>
      <c r="E20" s="93" t="s">
        <v>1782</v>
      </c>
      <c r="F20" s="93" t="s">
        <v>2284</v>
      </c>
      <c r="G20" s="93" t="s">
        <v>14</v>
      </c>
      <c r="H20" s="93" t="s">
        <v>1903</v>
      </c>
      <c r="I20" s="207" t="s">
        <v>63</v>
      </c>
      <c r="J20" s="103" t="s">
        <v>64</v>
      </c>
      <c r="K20" s="103"/>
      <c r="L20" s="102"/>
      <c r="M20" s="193" t="s">
        <v>63</v>
      </c>
      <c r="N20" s="193" t="s">
        <v>2537</v>
      </c>
      <c r="O20" s="93" t="s">
        <v>1664</v>
      </c>
    </row>
    <row r="21" spans="1:15" ht="12.75">
      <c r="A21" s="29">
        <v>1</v>
      </c>
      <c r="B21" s="410">
        <v>30</v>
      </c>
      <c r="C21" s="19" t="s">
        <v>4046</v>
      </c>
      <c r="D21" s="95" t="s">
        <v>2538</v>
      </c>
      <c r="E21" s="95" t="s">
        <v>1749</v>
      </c>
      <c r="F21" s="95" t="s">
        <v>2342</v>
      </c>
      <c r="G21" s="95" t="s">
        <v>14</v>
      </c>
      <c r="H21" s="95" t="s">
        <v>815</v>
      </c>
      <c r="I21" s="218" t="s">
        <v>297</v>
      </c>
      <c r="J21" s="208" t="s">
        <v>77</v>
      </c>
      <c r="K21" s="208" t="s">
        <v>126</v>
      </c>
      <c r="L21" s="109"/>
      <c r="M21" s="111" t="s">
        <v>126</v>
      </c>
      <c r="N21" s="111" t="s">
        <v>2539</v>
      </c>
      <c r="O21" s="95" t="s">
        <v>2540</v>
      </c>
    </row>
    <row r="22" spans="1:15" ht="12.75">
      <c r="A22" s="29"/>
      <c r="B22" s="4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5.75">
      <c r="A23" s="29"/>
      <c r="B23" s="410"/>
      <c r="C23" s="508" t="s">
        <v>116</v>
      </c>
      <c r="D23" s="508"/>
      <c r="E23" s="508"/>
      <c r="F23" s="508"/>
      <c r="G23" s="508"/>
      <c r="H23" s="508"/>
      <c r="I23" s="508"/>
      <c r="J23" s="508"/>
      <c r="K23" s="508"/>
      <c r="L23" s="508"/>
      <c r="M23" s="508"/>
      <c r="N23" s="508"/>
      <c r="O23" s="15"/>
    </row>
    <row r="24" spans="1:15" ht="12.75">
      <c r="A24" s="29">
        <v>1</v>
      </c>
      <c r="B24" s="410">
        <v>30</v>
      </c>
      <c r="C24" s="17" t="s">
        <v>4047</v>
      </c>
      <c r="D24" s="88" t="s">
        <v>2541</v>
      </c>
      <c r="E24" s="88" t="s">
        <v>1692</v>
      </c>
      <c r="F24" s="88" t="s">
        <v>2391</v>
      </c>
      <c r="G24" s="88" t="s">
        <v>14</v>
      </c>
      <c r="H24" s="88" t="s">
        <v>189</v>
      </c>
      <c r="I24" s="214" t="s">
        <v>120</v>
      </c>
      <c r="J24" s="206" t="s">
        <v>109</v>
      </c>
      <c r="K24" s="219" t="s">
        <v>202</v>
      </c>
      <c r="L24" s="101"/>
      <c r="M24" s="110" t="s">
        <v>202</v>
      </c>
      <c r="N24" s="110" t="s">
        <v>2542</v>
      </c>
      <c r="O24" s="88" t="s">
        <v>2543</v>
      </c>
    </row>
    <row r="25" spans="1:15" ht="12.75">
      <c r="A25" s="29">
        <v>1</v>
      </c>
      <c r="B25" s="410">
        <v>12</v>
      </c>
      <c r="C25" s="19" t="s">
        <v>4048</v>
      </c>
      <c r="D25" s="95" t="s">
        <v>2544</v>
      </c>
      <c r="E25" s="95" t="s">
        <v>1785</v>
      </c>
      <c r="F25" s="95" t="s">
        <v>2545</v>
      </c>
      <c r="G25" s="95" t="s">
        <v>14</v>
      </c>
      <c r="H25" s="95" t="s">
        <v>815</v>
      </c>
      <c r="I25" s="112" t="s">
        <v>480</v>
      </c>
      <c r="J25" s="208" t="s">
        <v>480</v>
      </c>
      <c r="K25" s="48"/>
      <c r="L25" s="109"/>
      <c r="M25" s="111" t="s">
        <v>480</v>
      </c>
      <c r="N25" s="111" t="s">
        <v>2546</v>
      </c>
      <c r="O25" s="95" t="s">
        <v>2547</v>
      </c>
    </row>
    <row r="26" spans="1:15" ht="12.75">
      <c r="A26" s="29"/>
      <c r="B26" s="4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5.75">
      <c r="A27" s="29"/>
      <c r="B27" s="410"/>
      <c r="C27" s="508" t="s">
        <v>59</v>
      </c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15"/>
    </row>
    <row r="28" spans="1:15" ht="12.75">
      <c r="A28" s="29">
        <v>1</v>
      </c>
      <c r="B28" s="410">
        <v>24</v>
      </c>
      <c r="C28" s="17" t="s">
        <v>4049</v>
      </c>
      <c r="D28" s="88" t="s">
        <v>2548</v>
      </c>
      <c r="E28" s="88" t="s">
        <v>2549</v>
      </c>
      <c r="F28" s="88" t="s">
        <v>2550</v>
      </c>
      <c r="G28" s="88" t="s">
        <v>2348</v>
      </c>
      <c r="H28" s="88" t="s">
        <v>267</v>
      </c>
      <c r="I28" s="121" t="s">
        <v>120</v>
      </c>
      <c r="J28" s="206" t="s">
        <v>190</v>
      </c>
      <c r="K28" s="121" t="s">
        <v>202</v>
      </c>
      <c r="L28" s="101"/>
      <c r="M28" s="110" t="s">
        <v>190</v>
      </c>
      <c r="N28" s="110" t="s">
        <v>2551</v>
      </c>
      <c r="O28" s="88" t="s">
        <v>2552</v>
      </c>
    </row>
    <row r="29" spans="1:15" ht="12.75">
      <c r="A29" s="29">
        <v>1</v>
      </c>
      <c r="B29" s="410">
        <v>24</v>
      </c>
      <c r="C29" s="19" t="s">
        <v>4050</v>
      </c>
      <c r="D29" s="95" t="s">
        <v>2403</v>
      </c>
      <c r="E29" s="95" t="s">
        <v>1901</v>
      </c>
      <c r="F29" s="95" t="s">
        <v>2404</v>
      </c>
      <c r="G29" s="95" t="s">
        <v>54</v>
      </c>
      <c r="H29" s="95" t="s">
        <v>1695</v>
      </c>
      <c r="I29" s="218" t="s">
        <v>108</v>
      </c>
      <c r="J29" s="112" t="s">
        <v>120</v>
      </c>
      <c r="K29" s="112" t="s">
        <v>120</v>
      </c>
      <c r="L29" s="109"/>
      <c r="M29" s="111" t="s">
        <v>108</v>
      </c>
      <c r="N29" s="111" t="s">
        <v>2600</v>
      </c>
      <c r="O29" s="95" t="s">
        <v>51</v>
      </c>
    </row>
    <row r="30" spans="1:15" ht="12.75">
      <c r="A30" s="29"/>
      <c r="B30" s="41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5.75">
      <c r="A31" s="29"/>
      <c r="B31" s="410"/>
      <c r="C31" s="508" t="s">
        <v>164</v>
      </c>
      <c r="D31" s="508"/>
      <c r="E31" s="508"/>
      <c r="F31" s="508"/>
      <c r="G31" s="508"/>
      <c r="H31" s="508"/>
      <c r="I31" s="508"/>
      <c r="J31" s="508"/>
      <c r="K31" s="508"/>
      <c r="L31" s="508"/>
      <c r="M31" s="508"/>
      <c r="N31" s="508"/>
      <c r="O31" s="15"/>
    </row>
    <row r="32" spans="1:15" ht="12.75">
      <c r="A32" s="29">
        <v>1</v>
      </c>
      <c r="B32" s="410">
        <v>36</v>
      </c>
      <c r="C32" s="17" t="s">
        <v>4051</v>
      </c>
      <c r="D32" s="88" t="s">
        <v>2554</v>
      </c>
      <c r="E32" s="88" t="s">
        <v>2555</v>
      </c>
      <c r="F32" s="88" t="s">
        <v>2556</v>
      </c>
      <c r="G32" s="88" t="s">
        <v>2348</v>
      </c>
      <c r="H32" s="88" t="s">
        <v>267</v>
      </c>
      <c r="I32" s="206" t="s">
        <v>317</v>
      </c>
      <c r="J32" s="206" t="s">
        <v>368</v>
      </c>
      <c r="K32" s="206" t="s">
        <v>1140</v>
      </c>
      <c r="L32" s="101"/>
      <c r="M32" s="110" t="s">
        <v>1140</v>
      </c>
      <c r="N32" s="110" t="s">
        <v>2557</v>
      </c>
      <c r="O32" s="88" t="s">
        <v>51</v>
      </c>
    </row>
    <row r="33" spans="1:15" ht="12.75">
      <c r="A33" s="29">
        <v>2</v>
      </c>
      <c r="B33" s="410"/>
      <c r="C33" s="18" t="s">
        <v>4052</v>
      </c>
      <c r="D33" s="93" t="s">
        <v>2558</v>
      </c>
      <c r="E33" s="93" t="s">
        <v>1720</v>
      </c>
      <c r="F33" s="93" t="s">
        <v>2559</v>
      </c>
      <c r="G33" s="93" t="s">
        <v>31</v>
      </c>
      <c r="H33" s="93" t="s">
        <v>87</v>
      </c>
      <c r="I33" s="207" t="s">
        <v>120</v>
      </c>
      <c r="J33" s="207" t="s">
        <v>192</v>
      </c>
      <c r="K33" s="207" t="s">
        <v>237</v>
      </c>
      <c r="L33" s="102"/>
      <c r="M33" s="193" t="s">
        <v>237</v>
      </c>
      <c r="N33" s="193" t="s">
        <v>2560</v>
      </c>
      <c r="O33" s="93" t="s">
        <v>51</v>
      </c>
    </row>
    <row r="34" spans="1:15" ht="12.75">
      <c r="A34" s="29">
        <v>3</v>
      </c>
      <c r="B34" s="410">
        <v>20</v>
      </c>
      <c r="C34" s="18" t="s">
        <v>4053</v>
      </c>
      <c r="D34" s="93" t="s">
        <v>2561</v>
      </c>
      <c r="E34" s="93" t="s">
        <v>1723</v>
      </c>
      <c r="F34" s="93" t="s">
        <v>2562</v>
      </c>
      <c r="G34" s="93" t="s">
        <v>14</v>
      </c>
      <c r="H34" s="93" t="s">
        <v>2563</v>
      </c>
      <c r="I34" s="103" t="s">
        <v>190</v>
      </c>
      <c r="J34" s="207" t="s">
        <v>190</v>
      </c>
      <c r="K34" s="207" t="s">
        <v>109</v>
      </c>
      <c r="L34" s="102"/>
      <c r="M34" s="193" t="s">
        <v>109</v>
      </c>
      <c r="N34" s="193" t="s">
        <v>2564</v>
      </c>
      <c r="O34" s="93" t="s">
        <v>1664</v>
      </c>
    </row>
    <row r="35" spans="1:15" ht="12.75">
      <c r="A35" s="29">
        <v>4</v>
      </c>
      <c r="B35" s="410">
        <v>19</v>
      </c>
      <c r="C35" s="18" t="s">
        <v>4054</v>
      </c>
      <c r="D35" s="93" t="s">
        <v>686</v>
      </c>
      <c r="E35" s="93" t="s">
        <v>2565</v>
      </c>
      <c r="F35" s="93" t="s">
        <v>2566</v>
      </c>
      <c r="G35" s="93" t="s">
        <v>688</v>
      </c>
      <c r="H35" s="93" t="s">
        <v>603</v>
      </c>
      <c r="I35" s="207" t="s">
        <v>126</v>
      </c>
      <c r="J35" s="207" t="s">
        <v>175</v>
      </c>
      <c r="K35" s="207" t="s">
        <v>190</v>
      </c>
      <c r="L35" s="102"/>
      <c r="M35" s="193" t="s">
        <v>190</v>
      </c>
      <c r="N35" s="193" t="s">
        <v>2567</v>
      </c>
      <c r="O35" s="93" t="s">
        <v>2078</v>
      </c>
    </row>
    <row r="36" spans="1:15" ht="12.75">
      <c r="A36" s="29">
        <v>1</v>
      </c>
      <c r="B36" s="410">
        <v>36</v>
      </c>
      <c r="C36" s="18" t="s">
        <v>4051</v>
      </c>
      <c r="D36" s="93" t="s">
        <v>2568</v>
      </c>
      <c r="E36" s="93" t="s">
        <v>2555</v>
      </c>
      <c r="F36" s="93" t="s">
        <v>2556</v>
      </c>
      <c r="G36" s="93" t="s">
        <v>2348</v>
      </c>
      <c r="H36" s="93" t="s">
        <v>267</v>
      </c>
      <c r="I36" s="207" t="s">
        <v>317</v>
      </c>
      <c r="J36" s="207" t="s">
        <v>368</v>
      </c>
      <c r="K36" s="207" t="s">
        <v>1140</v>
      </c>
      <c r="L36" s="102"/>
      <c r="M36" s="193" t="s">
        <v>1140</v>
      </c>
      <c r="N36" s="193" t="s">
        <v>2569</v>
      </c>
      <c r="O36" s="93" t="s">
        <v>51</v>
      </c>
    </row>
    <row r="37" spans="1:15" ht="12.75">
      <c r="A37" s="29">
        <v>1</v>
      </c>
      <c r="B37" s="410"/>
      <c r="C37" s="18" t="s">
        <v>4055</v>
      </c>
      <c r="D37" s="93" t="s">
        <v>2570</v>
      </c>
      <c r="E37" s="93" t="s">
        <v>2571</v>
      </c>
      <c r="F37" s="93" t="s">
        <v>2572</v>
      </c>
      <c r="G37" s="93" t="s">
        <v>31</v>
      </c>
      <c r="H37" s="93" t="s">
        <v>1903</v>
      </c>
      <c r="I37" s="207" t="s">
        <v>126</v>
      </c>
      <c r="J37" s="207" t="s">
        <v>175</v>
      </c>
      <c r="K37" s="207" t="s">
        <v>108</v>
      </c>
      <c r="L37" s="102"/>
      <c r="M37" s="193" t="s">
        <v>108</v>
      </c>
      <c r="N37" s="193" t="s">
        <v>2573</v>
      </c>
      <c r="O37" s="93" t="s">
        <v>2574</v>
      </c>
    </row>
    <row r="38" spans="1:15" ht="12.75">
      <c r="A38" s="29">
        <v>2</v>
      </c>
      <c r="B38" s="410">
        <v>9</v>
      </c>
      <c r="C38" s="19" t="s">
        <v>4056</v>
      </c>
      <c r="D38" s="95" t="s">
        <v>2575</v>
      </c>
      <c r="E38" s="95" t="s">
        <v>2576</v>
      </c>
      <c r="F38" s="95" t="s">
        <v>2577</v>
      </c>
      <c r="G38" s="95" t="s">
        <v>125</v>
      </c>
      <c r="H38" s="95" t="s">
        <v>706</v>
      </c>
      <c r="I38" s="218" t="s">
        <v>480</v>
      </c>
      <c r="J38" s="112" t="s">
        <v>132</v>
      </c>
      <c r="K38" s="208" t="s">
        <v>132</v>
      </c>
      <c r="L38" s="109"/>
      <c r="M38" s="111" t="s">
        <v>132</v>
      </c>
      <c r="N38" s="111" t="s">
        <v>2578</v>
      </c>
      <c r="O38" s="95" t="s">
        <v>51</v>
      </c>
    </row>
    <row r="39" spans="1:15" ht="12.75">
      <c r="A39" s="29"/>
      <c r="B39" s="4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5.75">
      <c r="A40" s="29"/>
      <c r="B40" s="410"/>
      <c r="C40" s="532" t="s">
        <v>227</v>
      </c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2"/>
      <c r="O40" s="15"/>
    </row>
    <row r="41" spans="1:15" ht="15" customHeight="1">
      <c r="A41" s="499" t="s">
        <v>4724</v>
      </c>
      <c r="B41" s="410"/>
      <c r="C41" s="498" t="s">
        <v>4723</v>
      </c>
      <c r="D41" s="17" t="s">
        <v>3251</v>
      </c>
      <c r="E41" s="84" t="s">
        <v>3252</v>
      </c>
      <c r="F41" s="17" t="s">
        <v>3253</v>
      </c>
      <c r="G41" s="84" t="s">
        <v>31</v>
      </c>
      <c r="H41" s="17" t="s">
        <v>1903</v>
      </c>
      <c r="I41" s="206" t="s">
        <v>127</v>
      </c>
      <c r="J41" s="244" t="s">
        <v>108</v>
      </c>
      <c r="K41" s="46" t="s">
        <v>120</v>
      </c>
      <c r="L41" s="88"/>
      <c r="M41" s="87" t="s">
        <v>108</v>
      </c>
      <c r="N41" s="35" t="s">
        <v>3254</v>
      </c>
      <c r="O41" s="88" t="s">
        <v>51</v>
      </c>
    </row>
    <row r="42" spans="1:15" ht="12.75">
      <c r="A42" s="29">
        <v>1</v>
      </c>
      <c r="B42" s="410">
        <v>24</v>
      </c>
      <c r="C42" s="92" t="s">
        <v>4057</v>
      </c>
      <c r="D42" s="18" t="s">
        <v>463</v>
      </c>
      <c r="E42" s="79" t="s">
        <v>1801</v>
      </c>
      <c r="F42" s="18" t="s">
        <v>2580</v>
      </c>
      <c r="G42" s="79" t="s">
        <v>2348</v>
      </c>
      <c r="H42" s="18" t="s">
        <v>1903</v>
      </c>
      <c r="I42" s="242" t="s">
        <v>109</v>
      </c>
      <c r="J42" s="248" t="s">
        <v>818</v>
      </c>
      <c r="K42" s="38"/>
      <c r="L42" s="39"/>
      <c r="M42" s="82" t="s">
        <v>818</v>
      </c>
      <c r="N42" s="38" t="s">
        <v>2581</v>
      </c>
      <c r="O42" s="93" t="s">
        <v>51</v>
      </c>
    </row>
    <row r="43" spans="1:15" ht="12.75">
      <c r="A43" s="29">
        <v>1</v>
      </c>
      <c r="B43" s="410">
        <v>36</v>
      </c>
      <c r="C43" s="92" t="s">
        <v>4058</v>
      </c>
      <c r="D43" s="18" t="s">
        <v>2583</v>
      </c>
      <c r="E43" s="79" t="s">
        <v>1801</v>
      </c>
      <c r="F43" s="18" t="s">
        <v>2580</v>
      </c>
      <c r="G43" s="79" t="s">
        <v>14</v>
      </c>
      <c r="H43" s="18" t="s">
        <v>2563</v>
      </c>
      <c r="I43" s="242" t="s">
        <v>319</v>
      </c>
      <c r="J43" s="248" t="s">
        <v>850</v>
      </c>
      <c r="K43" s="248" t="s">
        <v>846</v>
      </c>
      <c r="L43" s="47" t="s">
        <v>847</v>
      </c>
      <c r="M43" s="82" t="s">
        <v>846</v>
      </c>
      <c r="N43" s="38" t="s">
        <v>2584</v>
      </c>
      <c r="O43" s="93" t="s">
        <v>1664</v>
      </c>
    </row>
    <row r="44" spans="1:15" ht="12.75">
      <c r="A44" s="29">
        <v>2</v>
      </c>
      <c r="B44" s="410"/>
      <c r="C44" s="92" t="s">
        <v>4059</v>
      </c>
      <c r="D44" s="18" t="s">
        <v>2585</v>
      </c>
      <c r="E44" s="79" t="s">
        <v>2586</v>
      </c>
      <c r="F44" s="18" t="s">
        <v>2587</v>
      </c>
      <c r="G44" s="79" t="s">
        <v>31</v>
      </c>
      <c r="H44" s="18" t="s">
        <v>1903</v>
      </c>
      <c r="I44" s="242" t="s">
        <v>153</v>
      </c>
      <c r="J44" s="47" t="s">
        <v>269</v>
      </c>
      <c r="K44" s="47" t="s">
        <v>269</v>
      </c>
      <c r="L44" s="39"/>
      <c r="M44" s="82" t="s">
        <v>153</v>
      </c>
      <c r="N44" s="38" t="s">
        <v>2588</v>
      </c>
      <c r="O44" s="93" t="s">
        <v>2589</v>
      </c>
    </row>
    <row r="45" spans="1:15" ht="12.75">
      <c r="A45" s="29">
        <v>1</v>
      </c>
      <c r="B45" s="410">
        <v>36</v>
      </c>
      <c r="C45" s="94" t="s">
        <v>4058</v>
      </c>
      <c r="D45" s="19" t="s">
        <v>2590</v>
      </c>
      <c r="E45" s="98" t="s">
        <v>1801</v>
      </c>
      <c r="F45" s="19" t="s">
        <v>2580</v>
      </c>
      <c r="G45" s="98" t="s">
        <v>14</v>
      </c>
      <c r="H45" s="19" t="s">
        <v>2563</v>
      </c>
      <c r="I45" s="247" t="s">
        <v>319</v>
      </c>
      <c r="J45" s="249" t="s">
        <v>850</v>
      </c>
      <c r="K45" s="249" t="s">
        <v>846</v>
      </c>
      <c r="L45" s="48" t="s">
        <v>847</v>
      </c>
      <c r="M45" s="100" t="s">
        <v>846</v>
      </c>
      <c r="N45" s="41" t="s">
        <v>2584</v>
      </c>
      <c r="O45" s="95" t="s">
        <v>1664</v>
      </c>
    </row>
    <row r="46" spans="1:15" ht="12.75">
      <c r="A46" s="29"/>
      <c r="B46" s="4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5.75">
      <c r="A47" s="29"/>
      <c r="B47" s="410"/>
      <c r="C47" s="508" t="s">
        <v>304</v>
      </c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15"/>
    </row>
    <row r="48" spans="1:15" ht="12.75">
      <c r="A48" s="29">
        <v>1</v>
      </c>
      <c r="B48" s="410">
        <v>30</v>
      </c>
      <c r="C48" s="17" t="s">
        <v>4060</v>
      </c>
      <c r="D48" s="88" t="s">
        <v>2592</v>
      </c>
      <c r="E48" s="88" t="s">
        <v>2593</v>
      </c>
      <c r="F48" s="88" t="s">
        <v>2594</v>
      </c>
      <c r="G48" s="88" t="s">
        <v>125</v>
      </c>
      <c r="H48" s="88" t="s">
        <v>1903</v>
      </c>
      <c r="I48" s="214" t="s">
        <v>317</v>
      </c>
      <c r="J48" s="121" t="s">
        <v>319</v>
      </c>
      <c r="K48" s="206" t="s">
        <v>319</v>
      </c>
      <c r="L48" s="101"/>
      <c r="M48" s="110" t="s">
        <v>319</v>
      </c>
      <c r="N48" s="110" t="s">
        <v>2595</v>
      </c>
      <c r="O48" s="88" t="s">
        <v>2081</v>
      </c>
    </row>
    <row r="49" spans="1:15" ht="12.75">
      <c r="A49" s="29">
        <v>1</v>
      </c>
      <c r="B49" s="410">
        <v>30</v>
      </c>
      <c r="C49" s="18" t="s">
        <v>4060</v>
      </c>
      <c r="D49" s="93" t="s">
        <v>2596</v>
      </c>
      <c r="E49" s="93" t="s">
        <v>2593</v>
      </c>
      <c r="F49" s="93" t="s">
        <v>2594</v>
      </c>
      <c r="G49" s="93" t="s">
        <v>125</v>
      </c>
      <c r="H49" s="93" t="s">
        <v>1903</v>
      </c>
      <c r="I49" s="217" t="s">
        <v>317</v>
      </c>
      <c r="J49" s="103" t="s">
        <v>319</v>
      </c>
      <c r="K49" s="207" t="s">
        <v>319</v>
      </c>
      <c r="L49" s="102"/>
      <c r="M49" s="193" t="s">
        <v>319</v>
      </c>
      <c r="N49" s="193" t="s">
        <v>2597</v>
      </c>
      <c r="O49" s="93" t="s">
        <v>2598</v>
      </c>
    </row>
    <row r="50" spans="1:15" ht="12.75">
      <c r="A50" s="29"/>
      <c r="B50" s="410"/>
      <c r="C50" s="19" t="s">
        <v>747</v>
      </c>
      <c r="D50" s="95" t="s">
        <v>2599</v>
      </c>
      <c r="E50" s="95" t="s">
        <v>2498</v>
      </c>
      <c r="F50" s="95" t="s">
        <v>2499</v>
      </c>
      <c r="G50" s="95" t="s">
        <v>31</v>
      </c>
      <c r="H50" s="95" t="s">
        <v>1903</v>
      </c>
      <c r="I50" s="112" t="s">
        <v>120</v>
      </c>
      <c r="J50" s="112" t="s">
        <v>120</v>
      </c>
      <c r="K50" s="112" t="s">
        <v>120</v>
      </c>
      <c r="L50" s="109"/>
      <c r="M50" s="111" t="s">
        <v>1639</v>
      </c>
      <c r="N50" s="111" t="s">
        <v>2438</v>
      </c>
      <c r="O50" s="95" t="s">
        <v>51</v>
      </c>
    </row>
    <row r="51" spans="1:15" ht="12.75">
      <c r="A51" s="29"/>
      <c r="B51" s="4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8">
      <c r="A52" s="29"/>
      <c r="B52" s="410"/>
      <c r="C52" s="16" t="s">
        <v>370</v>
      </c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5.75">
      <c r="A53" s="29"/>
      <c r="B53" s="410"/>
      <c r="C53" s="22" t="s">
        <v>387</v>
      </c>
      <c r="D53" s="22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3.5">
      <c r="A54" s="29"/>
      <c r="B54" s="410"/>
      <c r="C54" s="24"/>
      <c r="D54" s="25" t="s">
        <v>2102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3.5">
      <c r="A55" s="29"/>
      <c r="B55" s="410"/>
      <c r="C55" s="26" t="s">
        <v>373</v>
      </c>
      <c r="D55" s="181" t="s">
        <v>374</v>
      </c>
      <c r="E55" s="181" t="s">
        <v>375</v>
      </c>
      <c r="F55" s="181" t="s">
        <v>376</v>
      </c>
      <c r="G55" s="181" t="s">
        <v>2319</v>
      </c>
      <c r="H55" s="15"/>
      <c r="I55" s="15"/>
      <c r="J55" s="15"/>
      <c r="K55" s="15"/>
      <c r="L55" s="15"/>
      <c r="M55" s="15"/>
      <c r="N55" s="15"/>
      <c r="O55" s="15"/>
    </row>
    <row r="56" spans="1:15" ht="12.75">
      <c r="A56" s="29">
        <v>1</v>
      </c>
      <c r="B56" s="410"/>
      <c r="C56" s="90" t="s">
        <v>2582</v>
      </c>
      <c r="D56" s="49" t="s">
        <v>372</v>
      </c>
      <c r="E56" s="49" t="s">
        <v>392</v>
      </c>
      <c r="F56" s="49" t="s">
        <v>846</v>
      </c>
      <c r="G56" s="50" t="s">
        <v>2584</v>
      </c>
      <c r="H56" s="15"/>
      <c r="I56" s="15"/>
      <c r="J56" s="15"/>
      <c r="K56" s="15"/>
      <c r="L56" s="15"/>
      <c r="M56" s="15"/>
      <c r="N56" s="15"/>
      <c r="O56" s="15"/>
    </row>
    <row r="57" spans="1:15" ht="12.75">
      <c r="A57" s="29">
        <v>2</v>
      </c>
      <c r="B57" s="410"/>
      <c r="C57" s="90" t="s">
        <v>2553</v>
      </c>
      <c r="D57" s="49" t="s">
        <v>372</v>
      </c>
      <c r="E57" s="49" t="s">
        <v>397</v>
      </c>
      <c r="F57" s="49" t="s">
        <v>1140</v>
      </c>
      <c r="G57" s="50" t="s">
        <v>2557</v>
      </c>
      <c r="H57" s="15"/>
      <c r="I57" s="15"/>
      <c r="J57" s="15"/>
      <c r="K57" s="15"/>
      <c r="L57" s="15"/>
      <c r="M57" s="15"/>
      <c r="N57" s="15"/>
      <c r="O57" s="15"/>
    </row>
    <row r="58" spans="1:15" ht="12.75">
      <c r="A58" s="29">
        <v>3</v>
      </c>
      <c r="B58" s="410"/>
      <c r="C58" s="90" t="s">
        <v>2532</v>
      </c>
      <c r="D58" s="49" t="s">
        <v>372</v>
      </c>
      <c r="E58" s="49" t="s">
        <v>383</v>
      </c>
      <c r="F58" s="49" t="s">
        <v>109</v>
      </c>
      <c r="G58" s="50" t="s">
        <v>2535</v>
      </c>
      <c r="H58" s="15"/>
      <c r="I58" s="15"/>
      <c r="J58" s="15"/>
      <c r="K58" s="15"/>
      <c r="L58" s="15"/>
      <c r="M58" s="15"/>
      <c r="N58" s="15"/>
      <c r="O58" s="15"/>
    </row>
    <row r="59" spans="1:15" ht="13.5">
      <c r="A59" s="29"/>
      <c r="B59" s="410"/>
      <c r="C59" s="24"/>
      <c r="D59" s="118" t="s">
        <v>2102</v>
      </c>
      <c r="E59" s="49"/>
      <c r="F59" s="49"/>
      <c r="G59" s="49"/>
      <c r="H59" s="15"/>
      <c r="I59" s="15"/>
      <c r="J59" s="15"/>
      <c r="K59" s="15"/>
      <c r="L59" s="15"/>
      <c r="M59" s="15"/>
      <c r="N59" s="15"/>
      <c r="O59" s="15"/>
    </row>
    <row r="60" spans="1:15" ht="13.5">
      <c r="A60" s="29"/>
      <c r="B60" s="410"/>
      <c r="C60" s="26" t="s">
        <v>373</v>
      </c>
      <c r="D60" s="181" t="s">
        <v>374</v>
      </c>
      <c r="E60" s="181" t="s">
        <v>375</v>
      </c>
      <c r="F60" s="181" t="s">
        <v>376</v>
      </c>
      <c r="G60" s="181" t="s">
        <v>2319</v>
      </c>
      <c r="H60" s="15"/>
      <c r="I60" s="15"/>
      <c r="J60" s="15"/>
      <c r="K60" s="15"/>
      <c r="L60" s="15"/>
      <c r="M60" s="15"/>
      <c r="N60" s="15"/>
      <c r="O60" s="15"/>
    </row>
    <row r="61" spans="1:15" ht="12.75">
      <c r="A61" s="29">
        <v>1</v>
      </c>
      <c r="B61" s="410"/>
      <c r="C61" s="90" t="s">
        <v>2582</v>
      </c>
      <c r="D61" s="49" t="s">
        <v>2437</v>
      </c>
      <c r="E61" s="49" t="s">
        <v>392</v>
      </c>
      <c r="F61" s="49" t="s">
        <v>846</v>
      </c>
      <c r="G61" s="50" t="s">
        <v>2584</v>
      </c>
      <c r="H61" s="15"/>
      <c r="I61" s="15"/>
      <c r="J61" s="15"/>
      <c r="K61" s="15"/>
      <c r="L61" s="15"/>
      <c r="M61" s="15"/>
      <c r="N61" s="15"/>
      <c r="O61" s="15"/>
    </row>
    <row r="62" spans="1:15" ht="12.75">
      <c r="A62" s="29">
        <v>2</v>
      </c>
      <c r="B62" s="410"/>
      <c r="C62" s="90" t="s">
        <v>2553</v>
      </c>
      <c r="D62" s="49" t="s">
        <v>2437</v>
      </c>
      <c r="E62" s="49" t="s">
        <v>397</v>
      </c>
      <c r="F62" s="49" t="s">
        <v>1140</v>
      </c>
      <c r="G62" s="50" t="s">
        <v>2569</v>
      </c>
      <c r="H62" s="15"/>
      <c r="I62" s="15"/>
      <c r="J62" s="15"/>
      <c r="K62" s="15"/>
      <c r="L62" s="15"/>
      <c r="M62" s="15"/>
      <c r="N62" s="15"/>
      <c r="O62" s="15"/>
    </row>
    <row r="63" spans="1:15" ht="12.75">
      <c r="A63" s="29">
        <v>3</v>
      </c>
      <c r="B63" s="410"/>
      <c r="C63" s="90" t="s">
        <v>2591</v>
      </c>
      <c r="D63" s="49" t="s">
        <v>2437</v>
      </c>
      <c r="E63" s="49" t="s">
        <v>389</v>
      </c>
      <c r="F63" s="49" t="s">
        <v>319</v>
      </c>
      <c r="G63" s="50" t="s">
        <v>2597</v>
      </c>
      <c r="H63" s="15"/>
      <c r="I63" s="15"/>
      <c r="J63" s="15"/>
      <c r="K63" s="15"/>
      <c r="L63" s="15"/>
      <c r="M63" s="15"/>
      <c r="N63" s="15"/>
      <c r="O63" s="15"/>
    </row>
    <row r="64" spans="1:15" ht="12.75">
      <c r="A64" s="29"/>
      <c r="B64" s="41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2.75">
      <c r="A65" s="29"/>
      <c r="B65" s="41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</sheetData>
  <sheetProtection/>
  <mergeCells count="24">
    <mergeCell ref="B3:B4"/>
    <mergeCell ref="C1:O1"/>
    <mergeCell ref="C2:O2"/>
    <mergeCell ref="A3:A4"/>
    <mergeCell ref="C3:C4"/>
    <mergeCell ref="D3:D4"/>
    <mergeCell ref="E3:E4"/>
    <mergeCell ref="F3:F4"/>
    <mergeCell ref="G3:G4"/>
    <mergeCell ref="H3:H4"/>
    <mergeCell ref="I3:L3"/>
    <mergeCell ref="M3:M4"/>
    <mergeCell ref="N3:N4"/>
    <mergeCell ref="O3:O4"/>
    <mergeCell ref="C5:N5"/>
    <mergeCell ref="C8:N8"/>
    <mergeCell ref="C11:N11"/>
    <mergeCell ref="C47:N47"/>
    <mergeCell ref="C14:N14"/>
    <mergeCell ref="C18:N18"/>
    <mergeCell ref="C23:N23"/>
    <mergeCell ref="C27:N27"/>
    <mergeCell ref="C31:N31"/>
    <mergeCell ref="C40:N40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3">
      <selection activeCell="I45" sqref="I45"/>
    </sheetView>
  </sheetViews>
  <sheetFormatPr defaultColWidth="11.375" defaultRowHeight="12.75"/>
  <cols>
    <col min="1" max="1" width="7.625" style="0" customWidth="1"/>
    <col min="2" max="2" width="12.875" style="409" customWidth="1"/>
    <col min="3" max="4" width="27.75390625" style="0" customWidth="1"/>
    <col min="5" max="5" width="11.75390625" style="0" customWidth="1"/>
    <col min="6" max="7" width="11.375" style="0" customWidth="1"/>
    <col min="8" max="8" width="28.00390625" style="0" customWidth="1"/>
    <col min="9" max="9" width="6.375" style="0" customWidth="1"/>
    <col min="10" max="10" width="6.625" style="0" customWidth="1"/>
    <col min="11" max="11" width="6.00390625" style="0" customWidth="1"/>
    <col min="12" max="12" width="5.875" style="0" customWidth="1"/>
    <col min="13" max="14" width="11.375" style="0" customWidth="1"/>
    <col min="15" max="15" width="13.875" style="0" customWidth="1"/>
  </cols>
  <sheetData>
    <row r="1" spans="1:15" ht="57.75" customHeight="1">
      <c r="A1" s="82"/>
      <c r="B1" s="399"/>
      <c r="C1" s="509" t="s">
        <v>2439</v>
      </c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</row>
    <row r="2" spans="1:15" ht="30" thickBot="1">
      <c r="A2" s="82"/>
      <c r="B2" s="399"/>
      <c r="C2" s="509" t="s">
        <v>2322</v>
      </c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</row>
    <row r="3" spans="1:15" ht="15.75" customHeight="1">
      <c r="A3" s="512" t="s">
        <v>1627</v>
      </c>
      <c r="B3" s="516" t="s">
        <v>4516</v>
      </c>
      <c r="C3" s="514" t="s">
        <v>0</v>
      </c>
      <c r="D3" s="516" t="s">
        <v>2271</v>
      </c>
      <c r="E3" s="516" t="s">
        <v>1629</v>
      </c>
      <c r="F3" s="514" t="s">
        <v>2272</v>
      </c>
      <c r="G3" s="514" t="s">
        <v>7</v>
      </c>
      <c r="H3" s="514" t="s">
        <v>3275</v>
      </c>
      <c r="I3" s="514" t="s">
        <v>2</v>
      </c>
      <c r="J3" s="514"/>
      <c r="K3" s="514"/>
      <c r="L3" s="514"/>
      <c r="M3" s="514" t="s">
        <v>1672</v>
      </c>
      <c r="N3" s="514" t="s">
        <v>6</v>
      </c>
      <c r="O3" s="510" t="s">
        <v>5</v>
      </c>
    </row>
    <row r="4" spans="1:15" ht="15" thickBot="1">
      <c r="A4" s="513"/>
      <c r="B4" s="517"/>
      <c r="C4" s="515"/>
      <c r="D4" s="517"/>
      <c r="E4" s="517"/>
      <c r="F4" s="515"/>
      <c r="G4" s="515"/>
      <c r="H4" s="515"/>
      <c r="I4" s="457" t="s">
        <v>2208</v>
      </c>
      <c r="J4" s="457" t="s">
        <v>2209</v>
      </c>
      <c r="K4" s="457" t="s">
        <v>2210</v>
      </c>
      <c r="L4" s="457" t="s">
        <v>8</v>
      </c>
      <c r="M4" s="515"/>
      <c r="N4" s="515"/>
      <c r="O4" s="511"/>
    </row>
    <row r="5" spans="1:15" ht="15.75">
      <c r="A5" s="50"/>
      <c r="B5" s="402"/>
      <c r="C5" s="508" t="s">
        <v>80</v>
      </c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89"/>
    </row>
    <row r="6" spans="1:15" ht="12.75">
      <c r="A6" s="50" t="s">
        <v>2208</v>
      </c>
      <c r="B6" s="402" t="s">
        <v>3526</v>
      </c>
      <c r="C6" s="198" t="s">
        <v>4061</v>
      </c>
      <c r="D6" s="199" t="s">
        <v>1357</v>
      </c>
      <c r="E6" s="199" t="s">
        <v>1708</v>
      </c>
      <c r="F6" s="199" t="s">
        <v>2440</v>
      </c>
      <c r="G6" s="199" t="s">
        <v>14</v>
      </c>
      <c r="H6" s="199" t="s">
        <v>2441</v>
      </c>
      <c r="I6" s="136" t="s">
        <v>416</v>
      </c>
      <c r="J6" s="209" t="s">
        <v>416</v>
      </c>
      <c r="K6" s="136" t="s">
        <v>48</v>
      </c>
      <c r="L6" s="201"/>
      <c r="M6" s="200" t="s">
        <v>416</v>
      </c>
      <c r="N6" s="200" t="s">
        <v>2442</v>
      </c>
      <c r="O6" s="199" t="s">
        <v>1664</v>
      </c>
    </row>
    <row r="7" spans="1:15" ht="12.75">
      <c r="A7" s="50"/>
      <c r="B7" s="402"/>
      <c r="C7" s="89"/>
      <c r="D7" s="89"/>
      <c r="E7" s="89"/>
      <c r="F7" s="89"/>
      <c r="G7" s="89"/>
      <c r="H7" s="89"/>
      <c r="I7" s="49"/>
      <c r="J7" s="49"/>
      <c r="K7" s="49"/>
      <c r="L7" s="49"/>
      <c r="M7" s="197"/>
      <c r="N7" s="49"/>
      <c r="O7" s="89"/>
    </row>
    <row r="8" spans="1:15" ht="15.75">
      <c r="A8" s="50"/>
      <c r="B8" s="402"/>
      <c r="C8" s="508" t="s">
        <v>42</v>
      </c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89"/>
    </row>
    <row r="9" spans="1:15" ht="12.75">
      <c r="A9" s="50" t="s">
        <v>2208</v>
      </c>
      <c r="B9" s="402" t="s">
        <v>3506</v>
      </c>
      <c r="C9" s="187" t="s">
        <v>4062</v>
      </c>
      <c r="D9" s="188" t="s">
        <v>1550</v>
      </c>
      <c r="E9" s="188" t="s">
        <v>1654</v>
      </c>
      <c r="F9" s="188" t="s">
        <v>2443</v>
      </c>
      <c r="G9" s="188" t="s">
        <v>130</v>
      </c>
      <c r="H9" s="188" t="s">
        <v>1551</v>
      </c>
      <c r="I9" s="206" t="s">
        <v>303</v>
      </c>
      <c r="J9" s="206" t="s">
        <v>25</v>
      </c>
      <c r="K9" s="121" t="s">
        <v>447</v>
      </c>
      <c r="L9" s="101"/>
      <c r="M9" s="110" t="s">
        <v>25</v>
      </c>
      <c r="N9" s="110" t="s">
        <v>2444</v>
      </c>
      <c r="O9" s="188" t="s">
        <v>1666</v>
      </c>
    </row>
    <row r="10" spans="1:15" ht="12.75">
      <c r="A10" s="50" t="s">
        <v>2209</v>
      </c>
      <c r="B10" s="402" t="s">
        <v>3493</v>
      </c>
      <c r="C10" s="190" t="s">
        <v>4063</v>
      </c>
      <c r="D10" s="191" t="s">
        <v>2445</v>
      </c>
      <c r="E10" s="191" t="s">
        <v>2446</v>
      </c>
      <c r="F10" s="191" t="s">
        <v>2447</v>
      </c>
      <c r="G10" s="191" t="s">
        <v>14</v>
      </c>
      <c r="H10" s="191" t="s">
        <v>2441</v>
      </c>
      <c r="I10" s="207" t="s">
        <v>416</v>
      </c>
      <c r="J10" s="207" t="s">
        <v>57</v>
      </c>
      <c r="K10" s="103" t="s">
        <v>48</v>
      </c>
      <c r="L10" s="102"/>
      <c r="M10" s="193" t="s">
        <v>57</v>
      </c>
      <c r="N10" s="193" t="s">
        <v>2448</v>
      </c>
      <c r="O10" s="191" t="s">
        <v>1664</v>
      </c>
    </row>
    <row r="11" spans="1:15" ht="12.75">
      <c r="A11" s="50" t="s">
        <v>2208</v>
      </c>
      <c r="B11" s="402" t="s">
        <v>3526</v>
      </c>
      <c r="C11" s="194" t="s">
        <v>4063</v>
      </c>
      <c r="D11" s="195" t="s">
        <v>2449</v>
      </c>
      <c r="E11" s="195" t="s">
        <v>2446</v>
      </c>
      <c r="F11" s="195" t="s">
        <v>2447</v>
      </c>
      <c r="G11" s="195" t="s">
        <v>14</v>
      </c>
      <c r="H11" s="195" t="s">
        <v>2441</v>
      </c>
      <c r="I11" s="208" t="s">
        <v>416</v>
      </c>
      <c r="J11" s="208" t="s">
        <v>57</v>
      </c>
      <c r="K11" s="112" t="s">
        <v>48</v>
      </c>
      <c r="L11" s="109"/>
      <c r="M11" s="111" t="s">
        <v>57</v>
      </c>
      <c r="N11" s="111" t="s">
        <v>2448</v>
      </c>
      <c r="O11" s="195" t="s">
        <v>1664</v>
      </c>
    </row>
    <row r="12" spans="1:15" ht="12.75">
      <c r="A12" s="50"/>
      <c r="B12" s="402"/>
      <c r="C12" s="89"/>
      <c r="D12" s="89"/>
      <c r="E12" s="89"/>
      <c r="F12" s="89"/>
      <c r="G12" s="89"/>
      <c r="H12" s="89"/>
      <c r="I12" s="49"/>
      <c r="J12" s="49"/>
      <c r="K12" s="49"/>
      <c r="L12" s="49"/>
      <c r="M12" s="197"/>
      <c r="N12" s="49"/>
      <c r="O12" s="89"/>
    </row>
    <row r="13" spans="1:15" ht="15.75">
      <c r="A13" s="50"/>
      <c r="B13" s="402"/>
      <c r="C13" s="508" t="s">
        <v>59</v>
      </c>
      <c r="D13" s="508"/>
      <c r="E13" s="508"/>
      <c r="F13" s="508"/>
      <c r="G13" s="508"/>
      <c r="H13" s="508"/>
      <c r="I13" s="508"/>
      <c r="J13" s="508"/>
      <c r="K13" s="508"/>
      <c r="L13" s="508"/>
      <c r="M13" s="508"/>
      <c r="N13" s="508"/>
      <c r="O13" s="89"/>
    </row>
    <row r="14" spans="1:15" ht="12.75">
      <c r="A14" s="50" t="s">
        <v>2208</v>
      </c>
      <c r="B14" s="402" t="s">
        <v>3526</v>
      </c>
      <c r="C14" s="187" t="s">
        <v>4064</v>
      </c>
      <c r="D14" s="188" t="s">
        <v>2450</v>
      </c>
      <c r="E14" s="188" t="s">
        <v>1791</v>
      </c>
      <c r="F14" s="188" t="s">
        <v>2451</v>
      </c>
      <c r="G14" s="188" t="s">
        <v>14</v>
      </c>
      <c r="H14" s="188" t="s">
        <v>2441</v>
      </c>
      <c r="I14" s="206" t="s">
        <v>551</v>
      </c>
      <c r="J14" s="206" t="s">
        <v>131</v>
      </c>
      <c r="K14" s="121" t="s">
        <v>63</v>
      </c>
      <c r="L14" s="101"/>
      <c r="M14" s="110" t="s">
        <v>131</v>
      </c>
      <c r="N14" s="110" t="s">
        <v>2452</v>
      </c>
      <c r="O14" s="188" t="s">
        <v>1664</v>
      </c>
    </row>
    <row r="15" spans="1:15" ht="12.75">
      <c r="A15" s="50" t="s">
        <v>2208</v>
      </c>
      <c r="B15" s="402" t="s">
        <v>2708</v>
      </c>
      <c r="C15" s="190" t="s">
        <v>4065</v>
      </c>
      <c r="D15" s="191" t="s">
        <v>2453</v>
      </c>
      <c r="E15" s="191" t="s">
        <v>1791</v>
      </c>
      <c r="F15" s="191" t="s">
        <v>2451</v>
      </c>
      <c r="G15" s="191" t="s">
        <v>14</v>
      </c>
      <c r="H15" s="191" t="s">
        <v>2441</v>
      </c>
      <c r="I15" s="207" t="s">
        <v>884</v>
      </c>
      <c r="J15" s="207" t="s">
        <v>888</v>
      </c>
      <c r="K15" s="207" t="s">
        <v>851</v>
      </c>
      <c r="L15" s="207" t="s">
        <v>1043</v>
      </c>
      <c r="M15" s="193" t="s">
        <v>851</v>
      </c>
      <c r="N15" s="193" t="s">
        <v>2454</v>
      </c>
      <c r="O15" s="191" t="s">
        <v>51</v>
      </c>
    </row>
    <row r="16" spans="1:15" ht="12.75">
      <c r="A16" s="50" t="s">
        <v>2209</v>
      </c>
      <c r="B16" s="402" t="s">
        <v>2614</v>
      </c>
      <c r="C16" s="190" t="s">
        <v>4066</v>
      </c>
      <c r="D16" s="191" t="s">
        <v>822</v>
      </c>
      <c r="E16" s="191" t="s">
        <v>2455</v>
      </c>
      <c r="F16" s="191" t="s">
        <v>2456</v>
      </c>
      <c r="G16" s="191" t="s">
        <v>22</v>
      </c>
      <c r="H16" s="191" t="s">
        <v>196</v>
      </c>
      <c r="I16" s="207" t="s">
        <v>191</v>
      </c>
      <c r="J16" s="207" t="s">
        <v>237</v>
      </c>
      <c r="K16" s="103" t="s">
        <v>238</v>
      </c>
      <c r="L16" s="102"/>
      <c r="M16" s="193" t="s">
        <v>237</v>
      </c>
      <c r="N16" s="193" t="s">
        <v>2457</v>
      </c>
      <c r="O16" s="191" t="s">
        <v>51</v>
      </c>
    </row>
    <row r="17" spans="1:15" ht="12.75">
      <c r="A17" s="50" t="s">
        <v>2210</v>
      </c>
      <c r="B17" s="402"/>
      <c r="C17" s="190" t="s">
        <v>4067</v>
      </c>
      <c r="D17" s="191" t="s">
        <v>2458</v>
      </c>
      <c r="E17" s="191" t="s">
        <v>2459</v>
      </c>
      <c r="F17" s="191" t="s">
        <v>2460</v>
      </c>
      <c r="G17" s="191" t="s">
        <v>31</v>
      </c>
      <c r="H17" s="191" t="s">
        <v>143</v>
      </c>
      <c r="I17" s="103" t="s">
        <v>190</v>
      </c>
      <c r="J17" s="103" t="s">
        <v>190</v>
      </c>
      <c r="K17" s="207" t="s">
        <v>190</v>
      </c>
      <c r="L17" s="102"/>
      <c r="M17" s="193" t="s">
        <v>190</v>
      </c>
      <c r="N17" s="193" t="s">
        <v>2461</v>
      </c>
      <c r="O17" s="191" t="s">
        <v>51</v>
      </c>
    </row>
    <row r="18" spans="1:15" ht="12.75">
      <c r="A18" s="50" t="s">
        <v>2211</v>
      </c>
      <c r="B18" s="402" t="s">
        <v>2214</v>
      </c>
      <c r="C18" s="194" t="s">
        <v>1528</v>
      </c>
      <c r="D18" s="195" t="s">
        <v>1529</v>
      </c>
      <c r="E18" s="195" t="s">
        <v>1745</v>
      </c>
      <c r="F18" s="195" t="s">
        <v>2462</v>
      </c>
      <c r="G18" s="195" t="s">
        <v>14</v>
      </c>
      <c r="H18" s="195" t="s">
        <v>2463</v>
      </c>
      <c r="I18" s="208" t="s">
        <v>89</v>
      </c>
      <c r="J18" s="112" t="s">
        <v>480</v>
      </c>
      <c r="K18" s="112" t="s">
        <v>480</v>
      </c>
      <c r="L18" s="109"/>
      <c r="M18" s="111" t="s">
        <v>89</v>
      </c>
      <c r="N18" s="111" t="s">
        <v>2464</v>
      </c>
      <c r="O18" s="195" t="s">
        <v>1664</v>
      </c>
    </row>
    <row r="19" spans="1:15" ht="12.75">
      <c r="A19" s="50"/>
      <c r="B19" s="402"/>
      <c r="C19" s="89"/>
      <c r="D19" s="89"/>
      <c r="E19" s="89"/>
      <c r="F19" s="89"/>
      <c r="G19" s="89"/>
      <c r="H19" s="89"/>
      <c r="I19" s="49"/>
      <c r="J19" s="49"/>
      <c r="K19" s="49"/>
      <c r="L19" s="49"/>
      <c r="M19" s="197"/>
      <c r="N19" s="49"/>
      <c r="O19" s="89"/>
    </row>
    <row r="20" spans="1:15" ht="15.75">
      <c r="A20" s="50"/>
      <c r="B20" s="402"/>
      <c r="C20" s="508" t="s">
        <v>164</v>
      </c>
      <c r="D20" s="508"/>
      <c r="E20" s="508"/>
      <c r="F20" s="508"/>
      <c r="G20" s="508"/>
      <c r="H20" s="508"/>
      <c r="I20" s="508"/>
      <c r="J20" s="508"/>
      <c r="K20" s="508"/>
      <c r="L20" s="508"/>
      <c r="M20" s="508"/>
      <c r="N20" s="508"/>
      <c r="O20" s="89"/>
    </row>
    <row r="21" spans="1:15" ht="12.75">
      <c r="A21" s="50" t="s">
        <v>2208</v>
      </c>
      <c r="B21" s="402"/>
      <c r="C21" s="187" t="s">
        <v>4068</v>
      </c>
      <c r="D21" s="188" t="s">
        <v>166</v>
      </c>
      <c r="E21" s="188" t="s">
        <v>2465</v>
      </c>
      <c r="F21" s="188" t="s">
        <v>2466</v>
      </c>
      <c r="G21" s="188" t="s">
        <v>31</v>
      </c>
      <c r="H21" s="188" t="s">
        <v>168</v>
      </c>
      <c r="I21" s="206" t="s">
        <v>237</v>
      </c>
      <c r="J21" s="206" t="s">
        <v>238</v>
      </c>
      <c r="K21" s="206" t="s">
        <v>319</v>
      </c>
      <c r="L21" s="101"/>
      <c r="M21" s="110" t="s">
        <v>319</v>
      </c>
      <c r="N21" s="110" t="s">
        <v>2467</v>
      </c>
      <c r="O21" s="188" t="s">
        <v>51</v>
      </c>
    </row>
    <row r="22" spans="1:15" ht="12.75">
      <c r="A22" s="50" t="s">
        <v>2209</v>
      </c>
      <c r="B22" s="402" t="s">
        <v>3493</v>
      </c>
      <c r="C22" s="190" t="s">
        <v>4069</v>
      </c>
      <c r="D22" s="191" t="s">
        <v>2468</v>
      </c>
      <c r="E22" s="191" t="s">
        <v>2465</v>
      </c>
      <c r="F22" s="191" t="s">
        <v>2466</v>
      </c>
      <c r="G22" s="191" t="s">
        <v>130</v>
      </c>
      <c r="H22" s="191" t="s">
        <v>2469</v>
      </c>
      <c r="I22" s="207" t="s">
        <v>190</v>
      </c>
      <c r="J22" s="103" t="s">
        <v>192</v>
      </c>
      <c r="K22" s="103" t="s">
        <v>245</v>
      </c>
      <c r="L22" s="102"/>
      <c r="M22" s="193" t="s">
        <v>190</v>
      </c>
      <c r="N22" s="193" t="s">
        <v>2470</v>
      </c>
      <c r="O22" s="191" t="s">
        <v>51</v>
      </c>
    </row>
    <row r="23" spans="1:15" ht="12.75">
      <c r="A23" s="50" t="s">
        <v>2208</v>
      </c>
      <c r="B23" s="402" t="s">
        <v>3506</v>
      </c>
      <c r="C23" s="194" t="s">
        <v>4070</v>
      </c>
      <c r="D23" s="195" t="s">
        <v>2472</v>
      </c>
      <c r="E23" s="195" t="s">
        <v>451</v>
      </c>
      <c r="F23" s="195" t="s">
        <v>2473</v>
      </c>
      <c r="G23" s="195" t="s">
        <v>125</v>
      </c>
      <c r="H23" s="195" t="s">
        <v>815</v>
      </c>
      <c r="I23" s="208" t="s">
        <v>245</v>
      </c>
      <c r="J23" s="208" t="s">
        <v>238</v>
      </c>
      <c r="K23" s="208" t="s">
        <v>239</v>
      </c>
      <c r="L23" s="109"/>
      <c r="M23" s="111" t="s">
        <v>239</v>
      </c>
      <c r="N23" s="111" t="s">
        <v>2474</v>
      </c>
      <c r="O23" s="195" t="s">
        <v>51</v>
      </c>
    </row>
    <row r="24" spans="1:15" ht="12.75">
      <c r="A24" s="50"/>
      <c r="B24" s="402"/>
      <c r="C24" s="89"/>
      <c r="D24" s="89"/>
      <c r="E24" s="89"/>
      <c r="F24" s="89"/>
      <c r="G24" s="89"/>
      <c r="H24" s="89"/>
      <c r="I24" s="49"/>
      <c r="J24" s="49"/>
      <c r="K24" s="49"/>
      <c r="L24" s="49"/>
      <c r="M24" s="197"/>
      <c r="N24" s="49"/>
      <c r="O24" s="89"/>
    </row>
    <row r="25" spans="1:15" ht="15.75">
      <c r="A25" s="50"/>
      <c r="B25" s="402"/>
      <c r="C25" s="508" t="s">
        <v>227</v>
      </c>
      <c r="D25" s="508"/>
      <c r="E25" s="508"/>
      <c r="F25" s="508"/>
      <c r="G25" s="508"/>
      <c r="H25" s="508"/>
      <c r="I25" s="508"/>
      <c r="J25" s="508"/>
      <c r="K25" s="508"/>
      <c r="L25" s="508"/>
      <c r="M25" s="508"/>
      <c r="N25" s="508"/>
      <c r="O25" s="89"/>
    </row>
    <row r="26" spans="1:15" ht="12.75">
      <c r="A26" s="50" t="s">
        <v>2208</v>
      </c>
      <c r="B26" s="402" t="s">
        <v>3506</v>
      </c>
      <c r="C26" s="187" t="s">
        <v>4071</v>
      </c>
      <c r="D26" s="188" t="s">
        <v>2475</v>
      </c>
      <c r="E26" s="188" t="s">
        <v>2024</v>
      </c>
      <c r="F26" s="188" t="s">
        <v>2476</v>
      </c>
      <c r="G26" s="188" t="s">
        <v>2348</v>
      </c>
      <c r="H26" s="188" t="s">
        <v>267</v>
      </c>
      <c r="I26" s="206" t="s">
        <v>237</v>
      </c>
      <c r="J26" s="206" t="s">
        <v>830</v>
      </c>
      <c r="K26" s="121" t="s">
        <v>991</v>
      </c>
      <c r="L26" s="101"/>
      <c r="M26" s="110" t="s">
        <v>830</v>
      </c>
      <c r="N26" s="110" t="s">
        <v>2477</v>
      </c>
      <c r="O26" s="188" t="s">
        <v>51</v>
      </c>
    </row>
    <row r="27" spans="1:15" ht="12.75">
      <c r="A27" s="50" t="s">
        <v>2208</v>
      </c>
      <c r="B27" s="402"/>
      <c r="C27" s="190" t="s">
        <v>3939</v>
      </c>
      <c r="D27" s="191" t="s">
        <v>235</v>
      </c>
      <c r="E27" s="191" t="s">
        <v>2478</v>
      </c>
      <c r="F27" s="191" t="s">
        <v>2479</v>
      </c>
      <c r="G27" s="191" t="s">
        <v>31</v>
      </c>
      <c r="H27" s="191" t="s">
        <v>87</v>
      </c>
      <c r="I27" s="207" t="s">
        <v>845</v>
      </c>
      <c r="J27" s="207" t="s">
        <v>913</v>
      </c>
      <c r="K27" s="207" t="s">
        <v>860</v>
      </c>
      <c r="L27" s="102"/>
      <c r="M27" s="193" t="s">
        <v>860</v>
      </c>
      <c r="N27" s="193" t="s">
        <v>2480</v>
      </c>
      <c r="O27" s="191" t="s">
        <v>51</v>
      </c>
    </row>
    <row r="28" spans="1:15" ht="12.75">
      <c r="A28" s="50" t="s">
        <v>2209</v>
      </c>
      <c r="B28" s="402" t="s">
        <v>3353</v>
      </c>
      <c r="C28" s="190" t="s">
        <v>4072</v>
      </c>
      <c r="D28" s="191" t="s">
        <v>2481</v>
      </c>
      <c r="E28" s="191" t="s">
        <v>2482</v>
      </c>
      <c r="F28" s="191" t="s">
        <v>2483</v>
      </c>
      <c r="G28" s="191" t="s">
        <v>2348</v>
      </c>
      <c r="H28" s="191" t="s">
        <v>2484</v>
      </c>
      <c r="I28" s="207" t="s">
        <v>845</v>
      </c>
      <c r="J28" s="207" t="s">
        <v>846</v>
      </c>
      <c r="K28" s="103" t="s">
        <v>1029</v>
      </c>
      <c r="L28" s="103" t="s">
        <v>1029</v>
      </c>
      <c r="M28" s="193" t="s">
        <v>846</v>
      </c>
      <c r="N28" s="193" t="s">
        <v>2485</v>
      </c>
      <c r="O28" s="191" t="s">
        <v>2486</v>
      </c>
    </row>
    <row r="29" spans="1:15" ht="12.75">
      <c r="A29" s="50" t="s">
        <v>2208</v>
      </c>
      <c r="B29" s="402" t="s">
        <v>3489</v>
      </c>
      <c r="C29" s="194" t="s">
        <v>4072</v>
      </c>
      <c r="D29" s="195" t="s">
        <v>2487</v>
      </c>
      <c r="E29" s="195" t="s">
        <v>2482</v>
      </c>
      <c r="F29" s="195" t="s">
        <v>2483</v>
      </c>
      <c r="G29" s="195" t="s">
        <v>2348</v>
      </c>
      <c r="H29" s="195" t="s">
        <v>2484</v>
      </c>
      <c r="I29" s="208" t="s">
        <v>845</v>
      </c>
      <c r="J29" s="208" t="s">
        <v>846</v>
      </c>
      <c r="K29" s="112" t="s">
        <v>1029</v>
      </c>
      <c r="L29" s="112" t="s">
        <v>1029</v>
      </c>
      <c r="M29" s="111" t="s">
        <v>846</v>
      </c>
      <c r="N29" s="111" t="s">
        <v>2485</v>
      </c>
      <c r="O29" s="195" t="s">
        <v>2488</v>
      </c>
    </row>
    <row r="30" spans="1:15" ht="12.75">
      <c r="A30" s="50"/>
      <c r="B30" s="402"/>
      <c r="C30" s="89"/>
      <c r="D30" s="89"/>
      <c r="E30" s="89"/>
      <c r="F30" s="89"/>
      <c r="G30" s="89"/>
      <c r="H30" s="89"/>
      <c r="I30" s="49"/>
      <c r="J30" s="49"/>
      <c r="K30" s="49"/>
      <c r="L30" s="49"/>
      <c r="M30" s="197"/>
      <c r="N30" s="49"/>
      <c r="O30" s="89"/>
    </row>
    <row r="31" spans="1:15" ht="15.75">
      <c r="A31" s="50"/>
      <c r="B31" s="402"/>
      <c r="C31" s="508" t="s">
        <v>304</v>
      </c>
      <c r="D31" s="508"/>
      <c r="E31" s="508"/>
      <c r="F31" s="508"/>
      <c r="G31" s="508"/>
      <c r="H31" s="508"/>
      <c r="I31" s="508"/>
      <c r="J31" s="508"/>
      <c r="K31" s="508"/>
      <c r="L31" s="508"/>
      <c r="M31" s="508"/>
      <c r="N31" s="508"/>
      <c r="O31" s="89"/>
    </row>
    <row r="32" spans="1:15" ht="12.75">
      <c r="A32" s="50" t="s">
        <v>2208</v>
      </c>
      <c r="B32" s="402" t="s">
        <v>3526</v>
      </c>
      <c r="C32" s="187" t="s">
        <v>4074</v>
      </c>
      <c r="D32" s="188" t="s">
        <v>2489</v>
      </c>
      <c r="E32" s="188" t="s">
        <v>2490</v>
      </c>
      <c r="F32" s="188" t="s">
        <v>2491</v>
      </c>
      <c r="G32" s="188" t="s">
        <v>125</v>
      </c>
      <c r="H32" s="188" t="s">
        <v>815</v>
      </c>
      <c r="I32" s="206" t="s">
        <v>238</v>
      </c>
      <c r="J32" s="206" t="s">
        <v>317</v>
      </c>
      <c r="K32" s="121" t="s">
        <v>884</v>
      </c>
      <c r="L32" s="101"/>
      <c r="M32" s="110" t="s">
        <v>317</v>
      </c>
      <c r="N32" s="110" t="s">
        <v>2492</v>
      </c>
      <c r="O32" s="188" t="s">
        <v>51</v>
      </c>
    </row>
    <row r="33" spans="1:15" ht="12.75">
      <c r="A33" s="50" t="s">
        <v>2209</v>
      </c>
      <c r="B33" s="402" t="s">
        <v>3493</v>
      </c>
      <c r="C33" s="190" t="s">
        <v>4073</v>
      </c>
      <c r="D33" s="191" t="s">
        <v>2493</v>
      </c>
      <c r="E33" s="191" t="s">
        <v>2494</v>
      </c>
      <c r="F33" s="191" t="s">
        <v>2495</v>
      </c>
      <c r="G33" s="191" t="s">
        <v>2348</v>
      </c>
      <c r="H33" s="191" t="s">
        <v>267</v>
      </c>
      <c r="I33" s="207" t="s">
        <v>64</v>
      </c>
      <c r="J33" s="207" t="s">
        <v>153</v>
      </c>
      <c r="K33" s="207" t="s">
        <v>127</v>
      </c>
      <c r="L33" s="102"/>
      <c r="M33" s="193" t="s">
        <v>127</v>
      </c>
      <c r="N33" s="193" t="s">
        <v>2496</v>
      </c>
      <c r="O33" s="191" t="s">
        <v>2486</v>
      </c>
    </row>
    <row r="34" spans="1:15" ht="12.75">
      <c r="A34" s="50" t="s">
        <v>2208</v>
      </c>
      <c r="B34" s="402" t="s">
        <v>3526</v>
      </c>
      <c r="C34" s="194" t="s">
        <v>4075</v>
      </c>
      <c r="D34" s="195" t="s">
        <v>2497</v>
      </c>
      <c r="E34" s="195" t="s">
        <v>2498</v>
      </c>
      <c r="F34" s="195" t="s">
        <v>2499</v>
      </c>
      <c r="G34" s="195" t="s">
        <v>125</v>
      </c>
      <c r="H34" s="195" t="s">
        <v>189</v>
      </c>
      <c r="I34" s="208" t="s">
        <v>237</v>
      </c>
      <c r="J34" s="112" t="s">
        <v>317</v>
      </c>
      <c r="K34" s="112" t="s">
        <v>317</v>
      </c>
      <c r="L34" s="109"/>
      <c r="M34" s="111" t="s">
        <v>237</v>
      </c>
      <c r="N34" s="111" t="s">
        <v>2500</v>
      </c>
      <c r="O34" s="195" t="s">
        <v>2501</v>
      </c>
    </row>
    <row r="35" spans="1:15" ht="12.75">
      <c r="A35" s="50"/>
      <c r="B35" s="402"/>
      <c r="C35" s="89"/>
      <c r="D35" s="89"/>
      <c r="E35" s="89"/>
      <c r="F35" s="89"/>
      <c r="G35" s="89"/>
      <c r="H35" s="89"/>
      <c r="I35" s="49"/>
      <c r="J35" s="49"/>
      <c r="K35" s="49"/>
      <c r="L35" s="49"/>
      <c r="M35" s="197"/>
      <c r="N35" s="49"/>
      <c r="O35" s="89"/>
    </row>
    <row r="36" spans="1:15" ht="15.75">
      <c r="A36" s="50"/>
      <c r="B36" s="402"/>
      <c r="C36" s="508" t="s">
        <v>355</v>
      </c>
      <c r="D36" s="508"/>
      <c r="E36" s="508"/>
      <c r="F36" s="508"/>
      <c r="G36" s="508"/>
      <c r="H36" s="508"/>
      <c r="I36" s="508"/>
      <c r="J36" s="508"/>
      <c r="K36" s="508"/>
      <c r="L36" s="508"/>
      <c r="M36" s="508"/>
      <c r="N36" s="508"/>
      <c r="O36" s="89"/>
    </row>
    <row r="37" spans="1:15" ht="12.75">
      <c r="A37" s="50" t="s">
        <v>2208</v>
      </c>
      <c r="B37" s="402" t="s">
        <v>3489</v>
      </c>
      <c r="C37" s="198" t="s">
        <v>3839</v>
      </c>
      <c r="D37" s="199" t="s">
        <v>2503</v>
      </c>
      <c r="E37" s="199" t="s">
        <v>2504</v>
      </c>
      <c r="F37" s="199" t="s">
        <v>2505</v>
      </c>
      <c r="G37" s="199" t="s">
        <v>2104</v>
      </c>
      <c r="H37" s="199" t="s">
        <v>143</v>
      </c>
      <c r="I37" s="136" t="s">
        <v>860</v>
      </c>
      <c r="J37" s="209" t="s">
        <v>869</v>
      </c>
      <c r="K37" s="209" t="s">
        <v>1342</v>
      </c>
      <c r="L37" s="201"/>
      <c r="M37" s="200" t="s">
        <v>1342</v>
      </c>
      <c r="N37" s="200" t="s">
        <v>2506</v>
      </c>
      <c r="O37" s="199" t="s">
        <v>1674</v>
      </c>
    </row>
    <row r="38" spans="1:15" ht="12.75">
      <c r="A38" s="50"/>
      <c r="B38" s="402"/>
      <c r="C38" s="89"/>
      <c r="D38" s="89"/>
      <c r="E38" s="89"/>
      <c r="F38" s="89"/>
      <c r="G38" s="89"/>
      <c r="H38" s="89"/>
      <c r="I38" s="49"/>
      <c r="J38" s="49"/>
      <c r="K38" s="49"/>
      <c r="L38" s="49"/>
      <c r="M38" s="197"/>
      <c r="N38" s="49"/>
      <c r="O38" s="89"/>
    </row>
    <row r="39" spans="1:15" ht="15.75">
      <c r="A39" s="50"/>
      <c r="B39" s="402"/>
      <c r="C39" s="508" t="s">
        <v>364</v>
      </c>
      <c r="D39" s="508"/>
      <c r="E39" s="508"/>
      <c r="F39" s="508"/>
      <c r="G39" s="508"/>
      <c r="H39" s="508"/>
      <c r="I39" s="508"/>
      <c r="J39" s="508"/>
      <c r="K39" s="508"/>
      <c r="L39" s="508"/>
      <c r="M39" s="508"/>
      <c r="N39" s="508"/>
      <c r="O39" s="89"/>
    </row>
    <row r="40" spans="1:15" ht="12.75">
      <c r="A40" s="50" t="s">
        <v>2208</v>
      </c>
      <c r="B40" s="402"/>
      <c r="C40" s="198" t="s">
        <v>4076</v>
      </c>
      <c r="D40" s="199" t="s">
        <v>2508</v>
      </c>
      <c r="E40" s="199" t="s">
        <v>2509</v>
      </c>
      <c r="F40" s="199" t="s">
        <v>2510</v>
      </c>
      <c r="G40" s="199" t="s">
        <v>31</v>
      </c>
      <c r="H40" s="199" t="s">
        <v>1407</v>
      </c>
      <c r="I40" s="209" t="s">
        <v>914</v>
      </c>
      <c r="J40" s="209" t="s">
        <v>899</v>
      </c>
      <c r="K40" s="209" t="s">
        <v>923</v>
      </c>
      <c r="L40" s="201"/>
      <c r="M40" s="200" t="s">
        <v>923</v>
      </c>
      <c r="N40" s="200" t="s">
        <v>2511</v>
      </c>
      <c r="O40" s="199" t="s">
        <v>2512</v>
      </c>
    </row>
    <row r="41" spans="1:15" ht="12.75">
      <c r="A41" s="50"/>
      <c r="B41" s="402"/>
      <c r="C41" s="89"/>
      <c r="D41" s="89"/>
      <c r="E41" s="89"/>
      <c r="F41" s="89"/>
      <c r="G41" s="89"/>
      <c r="H41" s="89"/>
      <c r="I41" s="49"/>
      <c r="J41" s="49"/>
      <c r="K41" s="49"/>
      <c r="L41" s="49"/>
      <c r="M41" s="197"/>
      <c r="N41" s="49"/>
      <c r="O41" s="89"/>
    </row>
    <row r="42" spans="1:15" ht="18">
      <c r="A42" s="50"/>
      <c r="B42" s="402"/>
      <c r="C42" s="203" t="s">
        <v>370</v>
      </c>
      <c r="D42" s="203"/>
      <c r="E42" s="89"/>
      <c r="F42" s="89"/>
      <c r="G42" s="89"/>
      <c r="H42" s="89"/>
      <c r="I42" s="49"/>
      <c r="J42" s="49"/>
      <c r="K42" s="49"/>
      <c r="L42" s="49"/>
      <c r="M42" s="197"/>
      <c r="N42" s="49"/>
      <c r="O42" s="89"/>
    </row>
    <row r="43" spans="1:15" ht="18">
      <c r="A43" s="50"/>
      <c r="B43" s="402"/>
      <c r="C43" s="22" t="s">
        <v>387</v>
      </c>
      <c r="D43" s="203"/>
      <c r="E43" s="89"/>
      <c r="F43" s="89"/>
      <c r="G43" s="89"/>
      <c r="H43" s="89"/>
      <c r="I43" s="49"/>
      <c r="J43" s="49"/>
      <c r="K43" s="49"/>
      <c r="L43" s="49"/>
      <c r="M43" s="197"/>
      <c r="N43" s="49"/>
      <c r="O43" s="89"/>
    </row>
    <row r="44" spans="1:15" ht="13.5">
      <c r="A44" s="50"/>
      <c r="B44" s="402"/>
      <c r="C44" s="24"/>
      <c r="D44" s="205" t="s">
        <v>2102</v>
      </c>
      <c r="E44" s="89"/>
      <c r="F44" s="89"/>
      <c r="G44" s="89"/>
      <c r="H44" s="89"/>
      <c r="I44" s="49"/>
      <c r="J44" s="49"/>
      <c r="K44" s="49"/>
      <c r="L44" s="49"/>
      <c r="M44" s="197"/>
      <c r="N44" s="49"/>
      <c r="O44" s="89"/>
    </row>
    <row r="45" spans="1:15" ht="13.5">
      <c r="A45" s="50"/>
      <c r="B45" s="402"/>
      <c r="C45" s="215" t="s">
        <v>373</v>
      </c>
      <c r="D45" s="181" t="s">
        <v>374</v>
      </c>
      <c r="E45" s="181" t="s">
        <v>375</v>
      </c>
      <c r="F45" s="181" t="s">
        <v>376</v>
      </c>
      <c r="G45" s="181" t="s">
        <v>2319</v>
      </c>
      <c r="H45" s="89"/>
      <c r="I45" s="49"/>
      <c r="J45" s="49"/>
      <c r="K45" s="49"/>
      <c r="L45" s="49"/>
      <c r="M45" s="197"/>
      <c r="N45" s="49"/>
      <c r="O45" s="89"/>
    </row>
    <row r="46" spans="1:15" ht="12.75">
      <c r="A46" s="50" t="s">
        <v>2208</v>
      </c>
      <c r="B46" s="402"/>
      <c r="C46" s="90" t="s">
        <v>2507</v>
      </c>
      <c r="D46" s="49" t="s">
        <v>372</v>
      </c>
      <c r="E46" s="50" t="s">
        <v>405</v>
      </c>
      <c r="F46" s="50" t="s">
        <v>923</v>
      </c>
      <c r="G46" s="50" t="s">
        <v>2511</v>
      </c>
      <c r="H46" s="89"/>
      <c r="I46" s="49"/>
      <c r="J46" s="49"/>
      <c r="K46" s="49"/>
      <c r="L46" s="49"/>
      <c r="M46" s="197"/>
      <c r="N46" s="49"/>
      <c r="O46" s="89"/>
    </row>
    <row r="47" spans="1:15" ht="12.75">
      <c r="A47" s="50" t="s">
        <v>2209</v>
      </c>
      <c r="B47" s="402"/>
      <c r="C47" s="90" t="s">
        <v>2502</v>
      </c>
      <c r="D47" s="49" t="s">
        <v>372</v>
      </c>
      <c r="E47" s="50" t="s">
        <v>2513</v>
      </c>
      <c r="F47" s="50" t="s">
        <v>1342</v>
      </c>
      <c r="G47" s="50" t="s">
        <v>2506</v>
      </c>
      <c r="H47" s="89"/>
      <c r="I47" s="49"/>
      <c r="J47" s="49"/>
      <c r="K47" s="49"/>
      <c r="L47" s="49"/>
      <c r="M47" s="197"/>
      <c r="N47" s="49"/>
      <c r="O47" s="89"/>
    </row>
    <row r="48" spans="1:15" ht="12.75">
      <c r="A48" s="50" t="s">
        <v>2210</v>
      </c>
      <c r="B48" s="402"/>
      <c r="C48" s="90" t="s">
        <v>234</v>
      </c>
      <c r="D48" s="49" t="s">
        <v>372</v>
      </c>
      <c r="E48" s="50" t="s">
        <v>1684</v>
      </c>
      <c r="F48" s="50" t="s">
        <v>860</v>
      </c>
      <c r="G48" s="50" t="s">
        <v>2480</v>
      </c>
      <c r="H48" s="89"/>
      <c r="I48" s="49"/>
      <c r="J48" s="49"/>
      <c r="K48" s="49"/>
      <c r="L48" s="49"/>
      <c r="M48" s="197"/>
      <c r="N48" s="49"/>
      <c r="O48" s="89"/>
    </row>
    <row r="49" spans="1:15" ht="12.75">
      <c r="A49" s="50"/>
      <c r="B49" s="402"/>
      <c r="C49" s="89"/>
      <c r="D49" s="89"/>
      <c r="E49" s="89"/>
      <c r="F49" s="89"/>
      <c r="G49" s="89"/>
      <c r="H49" s="89"/>
      <c r="I49" s="49"/>
      <c r="J49" s="49"/>
      <c r="K49" s="49"/>
      <c r="L49" s="49"/>
      <c r="M49" s="197"/>
      <c r="N49" s="49"/>
      <c r="O49" s="89"/>
    </row>
  </sheetData>
  <sheetProtection/>
  <mergeCells count="22">
    <mergeCell ref="A3:A4"/>
    <mergeCell ref="C3:C4"/>
    <mergeCell ref="D3:D4"/>
    <mergeCell ref="E3:E4"/>
    <mergeCell ref="F3:F4"/>
    <mergeCell ref="G3:G4"/>
    <mergeCell ref="B3:B4"/>
    <mergeCell ref="O3:O4"/>
    <mergeCell ref="C5:N5"/>
    <mergeCell ref="C8:N8"/>
    <mergeCell ref="C13:N13"/>
    <mergeCell ref="C1:O1"/>
    <mergeCell ref="C2:O2"/>
    <mergeCell ref="H3:H4"/>
    <mergeCell ref="I3:L3"/>
    <mergeCell ref="C20:N20"/>
    <mergeCell ref="C25:N25"/>
    <mergeCell ref="C31:N31"/>
    <mergeCell ref="C36:N36"/>
    <mergeCell ref="C39:N39"/>
    <mergeCell ref="M3:M4"/>
    <mergeCell ref="N3:N4"/>
  </mergeCells>
  <printOptions/>
  <pageMargins left="0.75" right="0.75" top="1" bottom="1" header="0.5" footer="0.5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4">
      <selection activeCell="D47" sqref="D47"/>
    </sheetView>
  </sheetViews>
  <sheetFormatPr defaultColWidth="8.75390625" defaultRowHeight="12.75"/>
  <cols>
    <col min="1" max="1" width="8.00390625" style="29" customWidth="1"/>
    <col min="2" max="2" width="11.00390625" style="410" customWidth="1"/>
    <col min="3" max="3" width="26.75390625" style="15" customWidth="1"/>
    <col min="4" max="4" width="27.125" style="15" bestFit="1" customWidth="1"/>
    <col min="5" max="5" width="15.375" style="15" customWidth="1"/>
    <col min="6" max="6" width="8.375" style="15" bestFit="1" customWidth="1"/>
    <col min="7" max="7" width="22.75390625" style="15" bestFit="1" customWidth="1"/>
    <col min="8" max="8" width="26.625" style="15" customWidth="1"/>
    <col min="9" max="11" width="5.625" style="15" bestFit="1" customWidth="1"/>
    <col min="12" max="12" width="4.625" style="15" bestFit="1" customWidth="1"/>
    <col min="13" max="13" width="13.25390625" style="30" customWidth="1"/>
    <col min="14" max="14" width="8.625" style="15" bestFit="1" customWidth="1"/>
    <col min="15" max="15" width="17.625" style="15" customWidth="1"/>
  </cols>
  <sheetData>
    <row r="1" spans="1:15" s="1" customFormat="1" ht="15" customHeight="1">
      <c r="A1" s="28"/>
      <c r="B1" s="443"/>
      <c r="C1" s="552" t="s">
        <v>2514</v>
      </c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</row>
    <row r="2" spans="1:15" s="1" customFormat="1" ht="105.75" customHeight="1" thickBot="1">
      <c r="A2" s="28"/>
      <c r="B2" s="44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</row>
    <row r="3" spans="1:15" s="2" customFormat="1" ht="21" customHeight="1">
      <c r="A3" s="546" t="s">
        <v>1627</v>
      </c>
      <c r="B3" s="516" t="s">
        <v>4516</v>
      </c>
      <c r="C3" s="542" t="s">
        <v>0</v>
      </c>
      <c r="D3" s="548" t="s">
        <v>1628</v>
      </c>
      <c r="E3" s="548" t="s">
        <v>1629</v>
      </c>
      <c r="F3" s="542" t="s">
        <v>9</v>
      </c>
      <c r="G3" s="542" t="s">
        <v>7</v>
      </c>
      <c r="H3" s="514" t="s">
        <v>3275</v>
      </c>
      <c r="I3" s="542" t="s">
        <v>2</v>
      </c>
      <c r="J3" s="542"/>
      <c r="K3" s="542"/>
      <c r="L3" s="542"/>
      <c r="M3" s="550" t="s">
        <v>1672</v>
      </c>
      <c r="N3" s="542" t="s">
        <v>6</v>
      </c>
      <c r="O3" s="544" t="s">
        <v>5</v>
      </c>
    </row>
    <row r="4" spans="1:15" s="2" customFormat="1" ht="21" customHeight="1" thickBot="1">
      <c r="A4" s="547"/>
      <c r="B4" s="554"/>
      <c r="C4" s="543"/>
      <c r="D4" s="543"/>
      <c r="E4" s="549"/>
      <c r="F4" s="543"/>
      <c r="G4" s="543"/>
      <c r="H4" s="515"/>
      <c r="I4" s="3">
        <v>1</v>
      </c>
      <c r="J4" s="3">
        <v>2</v>
      </c>
      <c r="K4" s="3">
        <v>3</v>
      </c>
      <c r="L4" s="3" t="s">
        <v>8</v>
      </c>
      <c r="M4" s="551"/>
      <c r="N4" s="543"/>
      <c r="O4" s="545"/>
    </row>
    <row r="5" spans="3:14" ht="15.75">
      <c r="C5" s="557" t="s">
        <v>80</v>
      </c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</row>
    <row r="6" spans="1:15" ht="12.75">
      <c r="A6" s="29">
        <v>1</v>
      </c>
      <c r="C6" s="20" t="s">
        <v>4640</v>
      </c>
      <c r="D6" s="20" t="s">
        <v>1175</v>
      </c>
      <c r="E6" s="20" t="s">
        <v>1747</v>
      </c>
      <c r="F6" s="20" t="str">
        <f>"1,1251"</f>
        <v>1,1251</v>
      </c>
      <c r="G6" s="20" t="s">
        <v>31</v>
      </c>
      <c r="H6" s="20" t="s">
        <v>1643</v>
      </c>
      <c r="I6" s="119" t="s">
        <v>56</v>
      </c>
      <c r="J6" s="45" t="s">
        <v>666</v>
      </c>
      <c r="K6" s="45" t="s">
        <v>666</v>
      </c>
      <c r="L6" s="31"/>
      <c r="M6" s="34">
        <v>72.5</v>
      </c>
      <c r="N6" s="33" t="str">
        <f>"81,5698"</f>
        <v>81,5698</v>
      </c>
      <c r="O6" s="20" t="s">
        <v>1954</v>
      </c>
    </row>
    <row r="8" spans="3:14" ht="15.75">
      <c r="C8" s="541" t="s">
        <v>18</v>
      </c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</row>
    <row r="9" spans="1:15" ht="12.75">
      <c r="A9" s="29">
        <v>1</v>
      </c>
      <c r="C9" s="20" t="s">
        <v>4641</v>
      </c>
      <c r="D9" s="20" t="s">
        <v>1176</v>
      </c>
      <c r="E9" s="20" t="s">
        <v>1958</v>
      </c>
      <c r="F9" s="20" t="str">
        <f>"1,0676"</f>
        <v>1,0676</v>
      </c>
      <c r="G9" s="20" t="s">
        <v>31</v>
      </c>
      <c r="H9" s="20" t="s">
        <v>1643</v>
      </c>
      <c r="I9" s="119" t="s">
        <v>416</v>
      </c>
      <c r="J9" s="119" t="s">
        <v>57</v>
      </c>
      <c r="K9" s="119" t="s">
        <v>666</v>
      </c>
      <c r="L9" s="31"/>
      <c r="M9" s="34">
        <v>77.5</v>
      </c>
      <c r="N9" s="33" t="str">
        <f>"89,1926"</f>
        <v>89,1926</v>
      </c>
      <c r="O9" s="20" t="s">
        <v>1190</v>
      </c>
    </row>
    <row r="11" spans="3:14" ht="15.75">
      <c r="C11" s="541" t="s">
        <v>42</v>
      </c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</row>
    <row r="12" spans="1:15" ht="12.75">
      <c r="A12" s="29">
        <v>1</v>
      </c>
      <c r="C12" s="20" t="s">
        <v>4642</v>
      </c>
      <c r="D12" s="20" t="s">
        <v>1177</v>
      </c>
      <c r="E12" s="20" t="s">
        <v>416</v>
      </c>
      <c r="F12" s="20" t="str">
        <f>"0,9948"</f>
        <v>0,9948</v>
      </c>
      <c r="G12" s="20" t="s">
        <v>31</v>
      </c>
      <c r="H12" s="20" t="s">
        <v>1643</v>
      </c>
      <c r="I12" s="119" t="s">
        <v>424</v>
      </c>
      <c r="J12" s="119" t="s">
        <v>55</v>
      </c>
      <c r="K12" s="119" t="s">
        <v>416</v>
      </c>
      <c r="L12" s="31"/>
      <c r="M12" s="34">
        <v>70</v>
      </c>
      <c r="N12" s="33" t="str">
        <f>"69,6360"</f>
        <v>69,6360</v>
      </c>
      <c r="O12" s="20" t="s">
        <v>51</v>
      </c>
    </row>
    <row r="14" spans="3:14" ht="15.75">
      <c r="C14" s="541" t="s">
        <v>66</v>
      </c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</row>
    <row r="15" spans="1:15" ht="12.75">
      <c r="A15" s="29">
        <v>1</v>
      </c>
      <c r="C15" s="20" t="s">
        <v>4643</v>
      </c>
      <c r="D15" s="20" t="s">
        <v>1178</v>
      </c>
      <c r="E15" s="20" t="s">
        <v>1774</v>
      </c>
      <c r="F15" s="20" t="str">
        <f>"1,0484"</f>
        <v>1,0484</v>
      </c>
      <c r="G15" s="20" t="s">
        <v>31</v>
      </c>
      <c r="H15" s="20" t="s">
        <v>1643</v>
      </c>
      <c r="I15" s="119" t="s">
        <v>416</v>
      </c>
      <c r="J15" s="119" t="s">
        <v>48</v>
      </c>
      <c r="K15" s="45" t="s">
        <v>49</v>
      </c>
      <c r="L15" s="31"/>
      <c r="M15" s="34">
        <v>80</v>
      </c>
      <c r="N15" s="33" t="str">
        <f>"83,8720"</f>
        <v>83,8720</v>
      </c>
      <c r="O15" s="20" t="s">
        <v>1955</v>
      </c>
    </row>
    <row r="17" spans="3:14" ht="15.75">
      <c r="C17" s="541" t="s">
        <v>18</v>
      </c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</row>
    <row r="18" spans="1:15" ht="12.75">
      <c r="A18" s="29">
        <v>1</v>
      </c>
      <c r="C18" s="17" t="s">
        <v>4644</v>
      </c>
      <c r="D18" s="17" t="s">
        <v>1179</v>
      </c>
      <c r="E18" s="17" t="s">
        <v>55</v>
      </c>
      <c r="F18" s="17" t="str">
        <f>"0,7710"</f>
        <v>0,7710</v>
      </c>
      <c r="G18" s="17" t="s">
        <v>31</v>
      </c>
      <c r="H18" s="17" t="s">
        <v>1642</v>
      </c>
      <c r="I18" s="128" t="s">
        <v>471</v>
      </c>
      <c r="J18" s="46" t="s">
        <v>25</v>
      </c>
      <c r="K18" s="46" t="s">
        <v>25</v>
      </c>
      <c r="L18" s="36"/>
      <c r="M18" s="44">
        <v>105</v>
      </c>
      <c r="N18" s="35" t="str">
        <f>"80,9550"</f>
        <v>80,9550</v>
      </c>
      <c r="O18" s="17" t="s">
        <v>1956</v>
      </c>
    </row>
    <row r="19" spans="1:15" ht="12.75">
      <c r="A19" s="29">
        <v>1</v>
      </c>
      <c r="C19" s="19" t="s">
        <v>4645</v>
      </c>
      <c r="D19" s="19" t="s">
        <v>1180</v>
      </c>
      <c r="E19" s="19" t="s">
        <v>1656</v>
      </c>
      <c r="F19" s="19" t="str">
        <f>"0,7785"</f>
        <v>0,7785</v>
      </c>
      <c r="G19" s="19" t="s">
        <v>31</v>
      </c>
      <c r="H19" s="19" t="s">
        <v>1642</v>
      </c>
      <c r="I19" s="129" t="s">
        <v>474</v>
      </c>
      <c r="J19" s="129" t="s">
        <v>49</v>
      </c>
      <c r="K19" s="129" t="s">
        <v>33</v>
      </c>
      <c r="L19" s="42"/>
      <c r="M19" s="43">
        <v>95</v>
      </c>
      <c r="N19" s="41" t="str">
        <f>"73,9575"</f>
        <v>73,9575</v>
      </c>
      <c r="O19" s="19" t="s">
        <v>1955</v>
      </c>
    </row>
    <row r="21" spans="3:14" ht="15.75">
      <c r="C21" s="541" t="s">
        <v>42</v>
      </c>
      <c r="D21" s="541"/>
      <c r="E21" s="541"/>
      <c r="F21" s="541"/>
      <c r="G21" s="541"/>
      <c r="H21" s="541"/>
      <c r="I21" s="541"/>
      <c r="J21" s="541"/>
      <c r="K21" s="541"/>
      <c r="L21" s="541"/>
      <c r="M21" s="541"/>
      <c r="N21" s="541"/>
    </row>
    <row r="22" spans="1:15" ht="12.75">
      <c r="A22" s="29">
        <v>1</v>
      </c>
      <c r="C22" s="17" t="s">
        <v>4647</v>
      </c>
      <c r="D22" s="17" t="s">
        <v>1181</v>
      </c>
      <c r="E22" s="17" t="s">
        <v>1959</v>
      </c>
      <c r="F22" s="17" t="str">
        <f>"0,7337"</f>
        <v>0,7337</v>
      </c>
      <c r="G22" s="17" t="s">
        <v>31</v>
      </c>
      <c r="H22" s="17" t="s">
        <v>1182</v>
      </c>
      <c r="I22" s="128" t="s">
        <v>88</v>
      </c>
      <c r="J22" s="128" t="s">
        <v>447</v>
      </c>
      <c r="K22" s="128" t="s">
        <v>89</v>
      </c>
      <c r="L22" s="36"/>
      <c r="M22" s="44">
        <v>130</v>
      </c>
      <c r="N22" s="35" t="str">
        <f>"95,3810"</f>
        <v>95,3810</v>
      </c>
      <c r="O22" s="17" t="s">
        <v>51</v>
      </c>
    </row>
    <row r="23" spans="1:15" ht="12.75">
      <c r="A23" s="29">
        <v>2</v>
      </c>
      <c r="C23" s="18" t="s">
        <v>1183</v>
      </c>
      <c r="D23" s="18" t="s">
        <v>1184</v>
      </c>
      <c r="E23" s="18" t="s">
        <v>57</v>
      </c>
      <c r="F23" s="18" t="str">
        <f>"0,7126"</f>
        <v>0,7126</v>
      </c>
      <c r="G23" s="18" t="s">
        <v>31</v>
      </c>
      <c r="H23" s="18" t="s">
        <v>1642</v>
      </c>
      <c r="I23" s="130" t="s">
        <v>48</v>
      </c>
      <c r="J23" s="47" t="s">
        <v>474</v>
      </c>
      <c r="K23" s="47" t="s">
        <v>474</v>
      </c>
      <c r="L23" s="39"/>
      <c r="M23" s="40">
        <v>80</v>
      </c>
      <c r="N23" s="38" t="str">
        <f>"57,0080"</f>
        <v>57,0080</v>
      </c>
      <c r="O23" s="18" t="s">
        <v>1955</v>
      </c>
    </row>
    <row r="24" spans="1:15" ht="12.75">
      <c r="A24" s="29">
        <v>1</v>
      </c>
      <c r="C24" s="19" t="s">
        <v>4646</v>
      </c>
      <c r="D24" s="19" t="s">
        <v>1185</v>
      </c>
      <c r="E24" s="19" t="s">
        <v>1960</v>
      </c>
      <c r="F24" s="19" t="str">
        <f>"0,7146"</f>
        <v>0,7146</v>
      </c>
      <c r="G24" s="19" t="s">
        <v>31</v>
      </c>
      <c r="H24" s="19" t="s">
        <v>337</v>
      </c>
      <c r="I24" s="129" t="s">
        <v>303</v>
      </c>
      <c r="J24" s="129" t="s">
        <v>471</v>
      </c>
      <c r="K24" s="129" t="s">
        <v>24</v>
      </c>
      <c r="L24" s="42"/>
      <c r="M24" s="43">
        <v>107.5</v>
      </c>
      <c r="N24" s="41" t="str">
        <f>"97,7912"</f>
        <v>97,7912</v>
      </c>
      <c r="O24" s="19" t="s">
        <v>1957</v>
      </c>
    </row>
    <row r="25" spans="9:14" ht="12.75">
      <c r="I25" s="50"/>
      <c r="J25" s="50"/>
      <c r="K25" s="50"/>
      <c r="L25" s="50"/>
      <c r="M25" s="53"/>
      <c r="N25" s="50"/>
    </row>
    <row r="26" spans="3:14" ht="15.75">
      <c r="C26" s="541" t="s">
        <v>164</v>
      </c>
      <c r="D26" s="541"/>
      <c r="E26" s="541"/>
      <c r="F26" s="541"/>
      <c r="G26" s="541"/>
      <c r="H26" s="541"/>
      <c r="I26" s="541"/>
      <c r="J26" s="541"/>
      <c r="K26" s="541"/>
      <c r="L26" s="541"/>
      <c r="M26" s="541"/>
      <c r="N26" s="541"/>
    </row>
    <row r="27" spans="1:15" ht="12.75">
      <c r="A27" s="29">
        <v>1</v>
      </c>
      <c r="C27" s="17" t="s">
        <v>4648</v>
      </c>
      <c r="D27" s="88" t="s">
        <v>1186</v>
      </c>
      <c r="E27" s="17" t="s">
        <v>1961</v>
      </c>
      <c r="F27" s="17" t="str">
        <f>"0,6111"</f>
        <v>0,6111</v>
      </c>
      <c r="G27" s="17" t="s">
        <v>31</v>
      </c>
      <c r="H27" s="17" t="s">
        <v>1642</v>
      </c>
      <c r="I27" s="128" t="s">
        <v>666</v>
      </c>
      <c r="J27" s="128" t="s">
        <v>48</v>
      </c>
      <c r="K27" s="46" t="s">
        <v>513</v>
      </c>
      <c r="L27" s="36"/>
      <c r="M27" s="44">
        <v>80</v>
      </c>
      <c r="N27" s="35" t="str">
        <f>"48,8880"</f>
        <v>48,8880</v>
      </c>
      <c r="O27" s="17" t="s">
        <v>1955</v>
      </c>
    </row>
    <row r="28" spans="1:15" ht="12.75">
      <c r="A28" s="29">
        <v>1</v>
      </c>
      <c r="C28" s="19" t="s">
        <v>4648</v>
      </c>
      <c r="D28" s="95" t="s">
        <v>1187</v>
      </c>
      <c r="E28" s="19" t="s">
        <v>1962</v>
      </c>
      <c r="F28" s="19" t="str">
        <f>"0,6191"</f>
        <v>0,6191</v>
      </c>
      <c r="G28" s="19" t="s">
        <v>31</v>
      </c>
      <c r="H28" s="19" t="s">
        <v>337</v>
      </c>
      <c r="I28" s="129" t="s">
        <v>25</v>
      </c>
      <c r="J28" s="129" t="s">
        <v>446</v>
      </c>
      <c r="K28" s="48" t="s">
        <v>139</v>
      </c>
      <c r="L28" s="42"/>
      <c r="M28" s="43">
        <v>115</v>
      </c>
      <c r="N28" s="41" t="str">
        <f>"76,7498"</f>
        <v>76,7498</v>
      </c>
      <c r="O28" s="19" t="s">
        <v>51</v>
      </c>
    </row>
    <row r="30" spans="3:14" ht="15.75">
      <c r="C30" s="541" t="s">
        <v>355</v>
      </c>
      <c r="D30" s="541"/>
      <c r="E30" s="541"/>
      <c r="F30" s="541"/>
      <c r="G30" s="541"/>
      <c r="H30" s="541"/>
      <c r="I30" s="541"/>
      <c r="J30" s="541"/>
      <c r="K30" s="541"/>
      <c r="L30" s="541"/>
      <c r="M30" s="541"/>
      <c r="N30" s="541"/>
    </row>
    <row r="31" spans="1:15" ht="12.75">
      <c r="A31" s="29">
        <v>1</v>
      </c>
      <c r="B31" s="410">
        <v>24</v>
      </c>
      <c r="C31" s="17" t="s">
        <v>4649</v>
      </c>
      <c r="D31" s="17" t="s">
        <v>1189</v>
      </c>
      <c r="E31" s="17" t="s">
        <v>1963</v>
      </c>
      <c r="F31" s="17" t="str">
        <f>"0,5610"</f>
        <v>0,5610</v>
      </c>
      <c r="G31" s="17" t="s">
        <v>301</v>
      </c>
      <c r="H31" s="17" t="s">
        <v>1642</v>
      </c>
      <c r="I31" s="128" t="s">
        <v>127</v>
      </c>
      <c r="J31" s="128" t="s">
        <v>108</v>
      </c>
      <c r="K31" s="128" t="s">
        <v>169</v>
      </c>
      <c r="L31" s="36"/>
      <c r="M31" s="44">
        <v>197.5</v>
      </c>
      <c r="N31" s="35" t="str">
        <f>"110,7975"</f>
        <v>110,7975</v>
      </c>
      <c r="O31" s="17" t="s">
        <v>1190</v>
      </c>
    </row>
    <row r="32" spans="1:15" ht="12.75">
      <c r="A32" s="29">
        <v>2</v>
      </c>
      <c r="C32" s="19" t="s">
        <v>4650</v>
      </c>
      <c r="D32" s="19" t="s">
        <v>1192</v>
      </c>
      <c r="E32" s="19" t="s">
        <v>1964</v>
      </c>
      <c r="F32" s="19" t="str">
        <f>"0,5683"</f>
        <v>0,5683</v>
      </c>
      <c r="G32" s="19" t="s">
        <v>31</v>
      </c>
      <c r="H32" s="19" t="s">
        <v>1193</v>
      </c>
      <c r="I32" s="129" t="s">
        <v>350</v>
      </c>
      <c r="J32" s="129" t="s">
        <v>108</v>
      </c>
      <c r="K32" s="48" t="s">
        <v>120</v>
      </c>
      <c r="L32" s="42"/>
      <c r="M32" s="43">
        <v>190</v>
      </c>
      <c r="N32" s="41" t="str">
        <f>"107,9770"</f>
        <v>107,9770</v>
      </c>
      <c r="O32" s="19" t="s">
        <v>51</v>
      </c>
    </row>
    <row r="34" spans="3:14" ht="15.75">
      <c r="C34" s="541" t="s">
        <v>364</v>
      </c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</row>
    <row r="35" spans="1:15" ht="12.75">
      <c r="A35" s="29">
        <v>1</v>
      </c>
      <c r="C35" s="20" t="s">
        <v>4651</v>
      </c>
      <c r="D35" s="20" t="s">
        <v>1195</v>
      </c>
      <c r="E35" s="20" t="s">
        <v>1965</v>
      </c>
      <c r="F35" s="20" t="str">
        <f>"0,5486"</f>
        <v>0,5486</v>
      </c>
      <c r="G35" s="20" t="s">
        <v>31</v>
      </c>
      <c r="H35" s="20" t="s">
        <v>1182</v>
      </c>
      <c r="I35" s="45" t="s">
        <v>175</v>
      </c>
      <c r="J35" s="119" t="s">
        <v>175</v>
      </c>
      <c r="K35" s="45" t="s">
        <v>108</v>
      </c>
      <c r="L35" s="31"/>
      <c r="M35" s="34">
        <v>185</v>
      </c>
      <c r="N35" s="33" t="str">
        <f>"101,4910"</f>
        <v>101,4910</v>
      </c>
      <c r="O35" s="20" t="s">
        <v>1842</v>
      </c>
    </row>
    <row r="37" spans="3:4" ht="18">
      <c r="C37" s="16" t="s">
        <v>370</v>
      </c>
      <c r="D37" s="16"/>
    </row>
    <row r="38" spans="3:4" ht="15.75">
      <c r="C38" s="22" t="s">
        <v>387</v>
      </c>
      <c r="D38" s="22"/>
    </row>
    <row r="39" spans="3:4" ht="13.5">
      <c r="C39" s="24"/>
      <c r="D39" s="25" t="s">
        <v>2102</v>
      </c>
    </row>
    <row r="40" spans="3:7" ht="13.5">
      <c r="C40" s="26" t="s">
        <v>373</v>
      </c>
      <c r="D40" s="26" t="s">
        <v>374</v>
      </c>
      <c r="E40" s="26" t="s">
        <v>375</v>
      </c>
      <c r="F40" s="26" t="s">
        <v>376</v>
      </c>
      <c r="G40" s="26" t="s">
        <v>377</v>
      </c>
    </row>
    <row r="41" spans="1:7" ht="12.75">
      <c r="A41" s="29">
        <v>1</v>
      </c>
      <c r="C41" s="90" t="s">
        <v>1188</v>
      </c>
      <c r="D41" s="49" t="s">
        <v>372</v>
      </c>
      <c r="E41" s="49" t="s">
        <v>400</v>
      </c>
      <c r="F41" s="49" t="s">
        <v>169</v>
      </c>
      <c r="G41" s="50" t="s">
        <v>1196</v>
      </c>
    </row>
    <row r="42" spans="1:7" ht="12.75">
      <c r="A42" s="29">
        <v>2</v>
      </c>
      <c r="C42" s="90" t="s">
        <v>1191</v>
      </c>
      <c r="D42" s="49" t="s">
        <v>372</v>
      </c>
      <c r="E42" s="49" t="s">
        <v>400</v>
      </c>
      <c r="F42" s="49" t="s">
        <v>108</v>
      </c>
      <c r="G42" s="50" t="s">
        <v>1197</v>
      </c>
    </row>
    <row r="43" spans="1:7" ht="12.75">
      <c r="A43" s="29">
        <v>3</v>
      </c>
      <c r="C43" s="90" t="s">
        <v>1194</v>
      </c>
      <c r="D43" s="49" t="s">
        <v>372</v>
      </c>
      <c r="E43" s="49" t="s">
        <v>405</v>
      </c>
      <c r="F43" s="49" t="s">
        <v>175</v>
      </c>
      <c r="G43" s="50" t="s">
        <v>1198</v>
      </c>
    </row>
  </sheetData>
  <sheetProtection/>
  <mergeCells count="22">
    <mergeCell ref="C34:N34"/>
    <mergeCell ref="N3:N4"/>
    <mergeCell ref="C5:N5"/>
    <mergeCell ref="C8:N8"/>
    <mergeCell ref="C11:N11"/>
    <mergeCell ref="C26:N26"/>
    <mergeCell ref="C30:N30"/>
    <mergeCell ref="C21:N21"/>
    <mergeCell ref="A3:A4"/>
    <mergeCell ref="C17:N17"/>
    <mergeCell ref="I3:L3"/>
    <mergeCell ref="B3:B4"/>
    <mergeCell ref="M3:M4"/>
    <mergeCell ref="H3:H4"/>
    <mergeCell ref="C14:N14"/>
    <mergeCell ref="C1:O2"/>
    <mergeCell ref="C3:C4"/>
    <mergeCell ref="D3:D4"/>
    <mergeCell ref="E3:E4"/>
    <mergeCell ref="F3:F4"/>
    <mergeCell ref="O3:O4"/>
    <mergeCell ref="G3:G4"/>
  </mergeCells>
  <printOptions/>
  <pageMargins left="0.7" right="0.7" top="0.75" bottom="0.75" header="0.3" footer="0.3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3">
      <selection activeCell="D36" sqref="D36"/>
    </sheetView>
  </sheetViews>
  <sheetFormatPr defaultColWidth="8.75390625" defaultRowHeight="12.75"/>
  <cols>
    <col min="1" max="1" width="7.875" style="0" customWidth="1"/>
    <col min="2" max="2" width="10.875" style="409" customWidth="1"/>
    <col min="3" max="3" width="26.00390625" style="15" bestFit="1" customWidth="1"/>
    <col min="4" max="4" width="27.375" style="15" customWidth="1"/>
    <col min="5" max="5" width="10.625" style="15" bestFit="1" customWidth="1"/>
    <col min="6" max="6" width="8.375" style="15" bestFit="1" customWidth="1"/>
    <col min="7" max="7" width="22.75390625" style="15" bestFit="1" customWidth="1"/>
    <col min="8" max="8" width="27.875" style="15" bestFit="1" customWidth="1"/>
    <col min="9" max="11" width="5.625" style="15" bestFit="1" customWidth="1"/>
    <col min="12" max="12" width="4.625" style="15" bestFit="1" customWidth="1"/>
    <col min="13" max="13" width="12.625" style="15" customWidth="1"/>
    <col min="14" max="14" width="8.625" style="15" bestFit="1" customWidth="1"/>
    <col min="15" max="15" width="15.375" style="15" bestFit="1" customWidth="1"/>
  </cols>
  <sheetData>
    <row r="1" spans="2:15" s="1" customFormat="1" ht="15" customHeight="1">
      <c r="B1" s="447"/>
      <c r="C1" s="552" t="s">
        <v>2160</v>
      </c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</row>
    <row r="2" spans="2:15" s="1" customFormat="1" ht="109.5" customHeight="1" thickBot="1">
      <c r="B2" s="447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</row>
    <row r="3" spans="1:15" s="2" customFormat="1" ht="12.75" customHeight="1">
      <c r="A3" s="546" t="s">
        <v>1627</v>
      </c>
      <c r="B3" s="516" t="s">
        <v>4516</v>
      </c>
      <c r="C3" s="542" t="s">
        <v>0</v>
      </c>
      <c r="D3" s="548" t="s">
        <v>1628</v>
      </c>
      <c r="E3" s="548" t="s">
        <v>1629</v>
      </c>
      <c r="F3" s="542" t="s">
        <v>9</v>
      </c>
      <c r="G3" s="542" t="s">
        <v>7</v>
      </c>
      <c r="H3" s="514" t="s">
        <v>3275</v>
      </c>
      <c r="I3" s="542" t="s">
        <v>2</v>
      </c>
      <c r="J3" s="542"/>
      <c r="K3" s="542"/>
      <c r="L3" s="542"/>
      <c r="M3" s="542" t="s">
        <v>1672</v>
      </c>
      <c r="N3" s="542" t="s">
        <v>6</v>
      </c>
      <c r="O3" s="544" t="s">
        <v>5</v>
      </c>
    </row>
    <row r="4" spans="1:15" s="2" customFormat="1" ht="21" customHeight="1" thickBot="1">
      <c r="A4" s="547"/>
      <c r="B4" s="517"/>
      <c r="C4" s="543"/>
      <c r="D4" s="543"/>
      <c r="E4" s="549"/>
      <c r="F4" s="543"/>
      <c r="G4" s="543"/>
      <c r="H4" s="515"/>
      <c r="I4" s="3">
        <v>1</v>
      </c>
      <c r="J4" s="3">
        <v>2</v>
      </c>
      <c r="K4" s="3">
        <v>3</v>
      </c>
      <c r="L4" s="3" t="s">
        <v>8</v>
      </c>
      <c r="M4" s="543"/>
      <c r="N4" s="543"/>
      <c r="O4" s="545"/>
    </row>
    <row r="5" spans="3:14" ht="15.75">
      <c r="C5" s="526" t="s">
        <v>164</v>
      </c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</row>
    <row r="6" spans="1:15" ht="12.75">
      <c r="A6" s="29">
        <v>1</v>
      </c>
      <c r="B6" s="410"/>
      <c r="C6" s="20" t="s">
        <v>4244</v>
      </c>
      <c r="D6" s="20" t="s">
        <v>1068</v>
      </c>
      <c r="E6" s="20" t="s">
        <v>1660</v>
      </c>
      <c r="F6" s="20" t="str">
        <f>"0,6113"</f>
        <v>0,6113</v>
      </c>
      <c r="G6" s="20" t="s">
        <v>31</v>
      </c>
      <c r="H6" s="20" t="s">
        <v>1643</v>
      </c>
      <c r="I6" s="134" t="s">
        <v>245</v>
      </c>
      <c r="J6" s="45" t="s">
        <v>246</v>
      </c>
      <c r="K6" s="45" t="s">
        <v>246</v>
      </c>
      <c r="L6" s="31"/>
      <c r="M6" s="33" t="s">
        <v>245</v>
      </c>
      <c r="N6" s="33" t="str">
        <f>"137,5425"</f>
        <v>137,5425</v>
      </c>
      <c r="O6" s="20" t="s">
        <v>51</v>
      </c>
    </row>
    <row r="8" spans="3:14" ht="15.75">
      <c r="C8" s="541" t="s">
        <v>227</v>
      </c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</row>
    <row r="9" spans="1:15" ht="12.75">
      <c r="A9" s="29">
        <v>1</v>
      </c>
      <c r="B9" s="410">
        <v>24</v>
      </c>
      <c r="C9" s="20" t="s">
        <v>4245</v>
      </c>
      <c r="D9" s="20" t="s">
        <v>711</v>
      </c>
      <c r="E9" s="20" t="s">
        <v>2016</v>
      </c>
      <c r="F9" s="20" t="str">
        <f>"0,6024"</f>
        <v>0,6024</v>
      </c>
      <c r="G9" s="20" t="s">
        <v>22</v>
      </c>
      <c r="H9" s="20" t="s">
        <v>23</v>
      </c>
      <c r="I9" s="134" t="s">
        <v>183</v>
      </c>
      <c r="J9" s="134" t="s">
        <v>192</v>
      </c>
      <c r="K9" s="31"/>
      <c r="L9" s="31"/>
      <c r="M9" s="33" t="s">
        <v>192</v>
      </c>
      <c r="N9" s="33" t="str">
        <f>"129,5160"</f>
        <v>129,5160</v>
      </c>
      <c r="O9" s="20" t="s">
        <v>51</v>
      </c>
    </row>
  </sheetData>
  <sheetProtection/>
  <mergeCells count="15">
    <mergeCell ref="C1:O2"/>
    <mergeCell ref="C3:C4"/>
    <mergeCell ref="D3:D4"/>
    <mergeCell ref="E3:E4"/>
    <mergeCell ref="F3:F4"/>
    <mergeCell ref="G3:G4"/>
    <mergeCell ref="H3:H4"/>
    <mergeCell ref="I3:L3"/>
    <mergeCell ref="A3:A4"/>
    <mergeCell ref="M3:M4"/>
    <mergeCell ref="N3:N4"/>
    <mergeCell ref="O3:O4"/>
    <mergeCell ref="C5:N5"/>
    <mergeCell ref="C8:N8"/>
    <mergeCell ref="B3:B4"/>
  </mergeCells>
  <printOptions/>
  <pageMargins left="0.7" right="0.7" top="0.75" bottom="0.75" header="0.3" footer="0.3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3">
      <selection activeCell="C20" sqref="C20"/>
    </sheetView>
  </sheetViews>
  <sheetFormatPr defaultColWidth="8.75390625" defaultRowHeight="12.75"/>
  <cols>
    <col min="1" max="1" width="9.125" style="29" customWidth="1"/>
    <col min="2" max="2" width="11.00390625" style="410" customWidth="1"/>
    <col min="3" max="3" width="26.00390625" style="15" bestFit="1" customWidth="1"/>
    <col min="4" max="4" width="26.875" style="15" bestFit="1" customWidth="1"/>
    <col min="5" max="5" width="10.625" style="15" bestFit="1" customWidth="1"/>
    <col min="6" max="6" width="8.375" style="15" bestFit="1" customWidth="1"/>
    <col min="7" max="7" width="22.75390625" style="15" bestFit="1" customWidth="1"/>
    <col min="8" max="8" width="32.875" style="15" bestFit="1" customWidth="1"/>
    <col min="9" max="11" width="5.625" style="15" bestFit="1" customWidth="1"/>
    <col min="12" max="12" width="4.625" style="15" bestFit="1" customWidth="1"/>
    <col min="13" max="13" width="11.625" style="30" customWidth="1"/>
    <col min="14" max="14" width="8.625" style="15" bestFit="1" customWidth="1"/>
    <col min="15" max="15" width="15.75390625" style="15" bestFit="1" customWidth="1"/>
  </cols>
  <sheetData>
    <row r="1" spans="1:15" s="1" customFormat="1" ht="15" customHeight="1">
      <c r="A1" s="28"/>
      <c r="B1" s="443"/>
      <c r="C1" s="552" t="s">
        <v>2161</v>
      </c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</row>
    <row r="2" spans="1:15" s="1" customFormat="1" ht="106.5" customHeight="1" thickBot="1">
      <c r="A2" s="28"/>
      <c r="B2" s="44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</row>
    <row r="3" spans="1:15" s="2" customFormat="1" ht="12.75" customHeight="1">
      <c r="A3" s="546" t="s">
        <v>1627</v>
      </c>
      <c r="B3" s="516" t="s">
        <v>4516</v>
      </c>
      <c r="C3" s="542" t="s">
        <v>0</v>
      </c>
      <c r="D3" s="548" t="s">
        <v>1628</v>
      </c>
      <c r="E3" s="548" t="s">
        <v>1629</v>
      </c>
      <c r="F3" s="542" t="s">
        <v>9</v>
      </c>
      <c r="G3" s="542" t="s">
        <v>7</v>
      </c>
      <c r="H3" s="514" t="s">
        <v>3275</v>
      </c>
      <c r="I3" s="542" t="s">
        <v>2</v>
      </c>
      <c r="J3" s="542"/>
      <c r="K3" s="542"/>
      <c r="L3" s="542"/>
      <c r="M3" s="550" t="s">
        <v>1672</v>
      </c>
      <c r="N3" s="542" t="s">
        <v>6</v>
      </c>
      <c r="O3" s="544" t="s">
        <v>5</v>
      </c>
    </row>
    <row r="4" spans="1:15" s="2" customFormat="1" ht="21" customHeight="1" thickBot="1">
      <c r="A4" s="547"/>
      <c r="B4" s="517"/>
      <c r="C4" s="543"/>
      <c r="D4" s="543"/>
      <c r="E4" s="549"/>
      <c r="F4" s="543"/>
      <c r="G4" s="543"/>
      <c r="H4" s="515"/>
      <c r="I4" s="3">
        <v>1</v>
      </c>
      <c r="J4" s="3">
        <v>2</v>
      </c>
      <c r="K4" s="3">
        <v>3</v>
      </c>
      <c r="L4" s="3" t="s">
        <v>8</v>
      </c>
      <c r="M4" s="551"/>
      <c r="N4" s="543"/>
      <c r="O4" s="545"/>
    </row>
    <row r="5" spans="3:14" ht="15.75">
      <c r="C5" s="526" t="s">
        <v>42</v>
      </c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</row>
    <row r="6" spans="1:15" ht="12.75">
      <c r="A6" s="29">
        <v>1</v>
      </c>
      <c r="B6" s="410">
        <v>12</v>
      </c>
      <c r="C6" s="20" t="s">
        <v>4652</v>
      </c>
      <c r="D6" s="20" t="s">
        <v>1002</v>
      </c>
      <c r="E6" s="20" t="s">
        <v>2012</v>
      </c>
      <c r="F6" s="20" t="str">
        <f>"0,7256"</f>
        <v>0,7256</v>
      </c>
      <c r="G6" s="20" t="s">
        <v>22</v>
      </c>
      <c r="H6" s="20" t="s">
        <v>196</v>
      </c>
      <c r="I6" s="134" t="s">
        <v>127</v>
      </c>
      <c r="J6" s="45" t="s">
        <v>108</v>
      </c>
      <c r="K6" s="45" t="s">
        <v>108</v>
      </c>
      <c r="L6" s="31"/>
      <c r="M6" s="34">
        <v>180</v>
      </c>
      <c r="N6" s="33" t="str">
        <f>"130,6080"</f>
        <v>130,6080</v>
      </c>
      <c r="O6" s="20" t="s">
        <v>51</v>
      </c>
    </row>
    <row r="7" spans="3:15" ht="12.75">
      <c r="C7" s="79"/>
      <c r="D7" s="79"/>
      <c r="E7" s="79"/>
      <c r="F7" s="79"/>
      <c r="G7" s="79"/>
      <c r="H7" s="79"/>
      <c r="I7" s="80"/>
      <c r="J7" s="80"/>
      <c r="K7" s="80"/>
      <c r="L7" s="81"/>
      <c r="M7" s="150"/>
      <c r="N7" s="82"/>
      <c r="O7" s="79"/>
    </row>
    <row r="8" spans="3:14" ht="15.75">
      <c r="C8" s="526" t="s">
        <v>59</v>
      </c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</row>
    <row r="9" spans="1:15" ht="12.75">
      <c r="A9" s="29">
        <v>1</v>
      </c>
      <c r="B9" s="410">
        <v>24</v>
      </c>
      <c r="C9" s="259" t="s">
        <v>4066</v>
      </c>
      <c r="D9" s="20" t="s">
        <v>822</v>
      </c>
      <c r="E9" s="260" t="s">
        <v>659</v>
      </c>
      <c r="F9" s="20" t="str">
        <f>"0,6540"</f>
        <v>0,6540</v>
      </c>
      <c r="G9" s="260" t="s">
        <v>22</v>
      </c>
      <c r="H9" s="20" t="s">
        <v>196</v>
      </c>
      <c r="I9" s="261" t="s">
        <v>237</v>
      </c>
      <c r="J9" s="45" t="s">
        <v>238</v>
      </c>
      <c r="K9" s="261" t="s">
        <v>238</v>
      </c>
      <c r="L9" s="31"/>
      <c r="M9" s="262">
        <v>230</v>
      </c>
      <c r="N9" s="33" t="str">
        <f>"150,4200"</f>
        <v>150,4200</v>
      </c>
      <c r="O9" s="210" t="s">
        <v>51</v>
      </c>
    </row>
    <row r="11" spans="3:14" ht="15.75">
      <c r="C11" s="541" t="s">
        <v>164</v>
      </c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</row>
    <row r="12" spans="1:15" ht="12.75">
      <c r="A12" s="29">
        <v>1</v>
      </c>
      <c r="C12" s="17" t="s">
        <v>4653</v>
      </c>
      <c r="D12" s="88" t="s">
        <v>1004</v>
      </c>
      <c r="E12" s="17" t="s">
        <v>2013</v>
      </c>
      <c r="F12" s="17" t="str">
        <f>"0,6091"</f>
        <v>0,6091</v>
      </c>
      <c r="G12" s="17" t="s">
        <v>31</v>
      </c>
      <c r="H12" s="17" t="s">
        <v>168</v>
      </c>
      <c r="I12" s="138" t="s">
        <v>914</v>
      </c>
      <c r="J12" s="138" t="s">
        <v>900</v>
      </c>
      <c r="K12" s="138" t="s">
        <v>911</v>
      </c>
      <c r="L12" s="36"/>
      <c r="M12" s="44">
        <v>375</v>
      </c>
      <c r="N12" s="35" t="str">
        <f>"228,4125"</f>
        <v>228,4125</v>
      </c>
      <c r="O12" s="17" t="s">
        <v>2258</v>
      </c>
    </row>
    <row r="13" spans="1:15" ht="12.75">
      <c r="A13" s="29">
        <v>1</v>
      </c>
      <c r="C13" s="19" t="s">
        <v>4653</v>
      </c>
      <c r="D13" s="95" t="s">
        <v>1005</v>
      </c>
      <c r="E13" s="19" t="s">
        <v>2013</v>
      </c>
      <c r="F13" s="19" t="str">
        <f>"0,6091"</f>
        <v>0,6091</v>
      </c>
      <c r="G13" s="19" t="s">
        <v>31</v>
      </c>
      <c r="H13" s="19" t="s">
        <v>168</v>
      </c>
      <c r="I13" s="139" t="s">
        <v>914</v>
      </c>
      <c r="J13" s="139" t="s">
        <v>900</v>
      </c>
      <c r="K13" s="139" t="s">
        <v>911</v>
      </c>
      <c r="L13" s="42"/>
      <c r="M13" s="43">
        <v>375</v>
      </c>
      <c r="N13" s="41" t="str">
        <f>"229,5546"</f>
        <v>229,5546</v>
      </c>
      <c r="O13" s="19" t="s">
        <v>2258</v>
      </c>
    </row>
    <row r="15" spans="3:14" ht="15.75">
      <c r="C15" s="541" t="s">
        <v>227</v>
      </c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1"/>
    </row>
    <row r="16" spans="1:15" ht="12.75">
      <c r="A16" s="29">
        <v>1</v>
      </c>
      <c r="B16" s="410">
        <v>30</v>
      </c>
      <c r="C16" s="17" t="s">
        <v>4654</v>
      </c>
      <c r="D16" s="88" t="s">
        <v>1007</v>
      </c>
      <c r="E16" s="17" t="s">
        <v>2014</v>
      </c>
      <c r="F16" s="17" t="str">
        <f>"0,5956"</f>
        <v>0,5956</v>
      </c>
      <c r="G16" s="17" t="s">
        <v>125</v>
      </c>
      <c r="H16" s="17" t="s">
        <v>1008</v>
      </c>
      <c r="I16" s="46" t="s">
        <v>860</v>
      </c>
      <c r="J16" s="138" t="s">
        <v>860</v>
      </c>
      <c r="K16" s="36"/>
      <c r="L16" s="36"/>
      <c r="M16" s="44">
        <v>300</v>
      </c>
      <c r="N16" s="35" t="str">
        <f>"178,6800"</f>
        <v>178,6800</v>
      </c>
      <c r="O16" s="17" t="s">
        <v>51</v>
      </c>
    </row>
    <row r="17" spans="1:15" ht="12.75">
      <c r="A17" s="29">
        <v>1</v>
      </c>
      <c r="B17" s="410">
        <v>30</v>
      </c>
      <c r="C17" s="19" t="s">
        <v>4654</v>
      </c>
      <c r="D17" s="95" t="s">
        <v>1009</v>
      </c>
      <c r="E17" s="19" t="s">
        <v>2014</v>
      </c>
      <c r="F17" s="19" t="str">
        <f>"0,5956"</f>
        <v>0,5956</v>
      </c>
      <c r="G17" s="19" t="s">
        <v>125</v>
      </c>
      <c r="H17" s="19" t="s">
        <v>1008</v>
      </c>
      <c r="I17" s="48" t="s">
        <v>860</v>
      </c>
      <c r="J17" s="139" t="s">
        <v>860</v>
      </c>
      <c r="K17" s="42"/>
      <c r="L17" s="42"/>
      <c r="M17" s="43">
        <v>300</v>
      </c>
      <c r="N17" s="41" t="str">
        <f>"219,4190"</f>
        <v>219,4190</v>
      </c>
      <c r="O17" s="19" t="s">
        <v>51</v>
      </c>
    </row>
    <row r="19" spans="3:14" ht="15.75">
      <c r="C19" s="541" t="s">
        <v>304</v>
      </c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41"/>
    </row>
    <row r="20" spans="1:15" ht="12.75">
      <c r="A20" s="29">
        <v>1</v>
      </c>
      <c r="C20" s="20" t="s">
        <v>3960</v>
      </c>
      <c r="D20" s="20" t="s">
        <v>1011</v>
      </c>
      <c r="E20" s="20" t="s">
        <v>2015</v>
      </c>
      <c r="F20" s="20" t="str">
        <f>"0,5817"</f>
        <v>0,5817</v>
      </c>
      <c r="G20" s="20" t="s">
        <v>31</v>
      </c>
      <c r="H20" s="20" t="s">
        <v>1012</v>
      </c>
      <c r="I20" s="134" t="s">
        <v>319</v>
      </c>
      <c r="J20" s="134" t="s">
        <v>845</v>
      </c>
      <c r="K20" s="45" t="s">
        <v>341</v>
      </c>
      <c r="L20" s="31"/>
      <c r="M20" s="34">
        <v>260</v>
      </c>
      <c r="N20" s="33" t="str">
        <f>"151,2420"</f>
        <v>151,2420</v>
      </c>
      <c r="O20" s="20" t="s">
        <v>51</v>
      </c>
    </row>
    <row r="22" spans="3:4" ht="18">
      <c r="C22" s="16" t="s">
        <v>370</v>
      </c>
      <c r="D22" s="16"/>
    </row>
    <row r="23" spans="3:4" ht="15.75">
      <c r="C23" s="22" t="s">
        <v>387</v>
      </c>
      <c r="D23" s="22"/>
    </row>
    <row r="24" spans="3:4" ht="13.5">
      <c r="C24" s="24"/>
      <c r="D24" s="25" t="s">
        <v>2102</v>
      </c>
    </row>
    <row r="25" spans="3:7" ht="13.5">
      <c r="C25" s="26" t="s">
        <v>373</v>
      </c>
      <c r="D25" s="26" t="s">
        <v>374</v>
      </c>
      <c r="E25" s="26" t="s">
        <v>375</v>
      </c>
      <c r="F25" s="26" t="s">
        <v>376</v>
      </c>
      <c r="G25" s="26" t="s">
        <v>377</v>
      </c>
    </row>
    <row r="26" spans="1:7" ht="12.75">
      <c r="A26" s="29">
        <v>1</v>
      </c>
      <c r="C26" s="90" t="s">
        <v>1003</v>
      </c>
      <c r="D26" s="49" t="s">
        <v>372</v>
      </c>
      <c r="E26" s="49" t="s">
        <v>397</v>
      </c>
      <c r="F26" s="49" t="s">
        <v>911</v>
      </c>
      <c r="G26" s="50" t="s">
        <v>1013</v>
      </c>
    </row>
    <row r="27" spans="1:7" ht="12.75">
      <c r="A27" s="29">
        <v>2</v>
      </c>
      <c r="C27" s="90" t="s">
        <v>1006</v>
      </c>
      <c r="D27" s="49" t="s">
        <v>372</v>
      </c>
      <c r="E27" s="49" t="s">
        <v>392</v>
      </c>
      <c r="F27" s="49" t="s">
        <v>860</v>
      </c>
      <c r="G27" s="50" t="s">
        <v>1014</v>
      </c>
    </row>
    <row r="28" spans="1:7" ht="12.75">
      <c r="A28" s="29">
        <v>3</v>
      </c>
      <c r="C28" s="90" t="s">
        <v>1010</v>
      </c>
      <c r="D28" s="49" t="s">
        <v>372</v>
      </c>
      <c r="E28" s="49" t="s">
        <v>389</v>
      </c>
      <c r="F28" s="49" t="s">
        <v>845</v>
      </c>
      <c r="G28" s="50" t="s">
        <v>1015</v>
      </c>
    </row>
  </sheetData>
  <sheetProtection/>
  <mergeCells count="18">
    <mergeCell ref="C19:N19"/>
    <mergeCell ref="M3:M4"/>
    <mergeCell ref="N3:N4"/>
    <mergeCell ref="O3:O4"/>
    <mergeCell ref="C5:N5"/>
    <mergeCell ref="C11:N11"/>
    <mergeCell ref="C15:N15"/>
    <mergeCell ref="C8:N8"/>
    <mergeCell ref="A3:A4"/>
    <mergeCell ref="C1:O2"/>
    <mergeCell ref="C3:C4"/>
    <mergeCell ref="D3:D4"/>
    <mergeCell ref="E3:E4"/>
    <mergeCell ref="F3:F4"/>
    <mergeCell ref="G3:G4"/>
    <mergeCell ref="H3:H4"/>
    <mergeCell ref="I3:L3"/>
    <mergeCell ref="B3:B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8">
      <selection activeCell="G46" sqref="G46"/>
    </sheetView>
  </sheetViews>
  <sheetFormatPr defaultColWidth="11.375" defaultRowHeight="12.75"/>
  <cols>
    <col min="1" max="1" width="6.75390625" style="0" customWidth="1"/>
    <col min="2" max="2" width="12.875" style="29" customWidth="1"/>
    <col min="3" max="3" width="26.25390625" style="0" customWidth="1"/>
    <col min="4" max="4" width="23.875" style="0" customWidth="1"/>
    <col min="5" max="5" width="12.125" style="0" customWidth="1"/>
    <col min="6" max="6" width="19.375" style="0" customWidth="1"/>
    <col min="7" max="7" width="27.00390625" style="0" customWidth="1"/>
    <col min="8" max="11" width="5.25390625" style="0" customWidth="1"/>
    <col min="12" max="12" width="10.75390625" style="0" customWidth="1"/>
    <col min="13" max="13" width="16.875" style="0" customWidth="1"/>
  </cols>
  <sheetData>
    <row r="1" spans="1:13" ht="57.75" customHeight="1">
      <c r="A1" s="452"/>
      <c r="B1" s="82"/>
      <c r="C1" s="509" t="s">
        <v>3114</v>
      </c>
      <c r="D1" s="509"/>
      <c r="E1" s="509"/>
      <c r="F1" s="509"/>
      <c r="G1" s="509"/>
      <c r="H1" s="509"/>
      <c r="I1" s="509"/>
      <c r="J1" s="509"/>
      <c r="K1" s="509"/>
      <c r="L1" s="509"/>
      <c r="M1" s="509"/>
    </row>
    <row r="2" spans="1:13" ht="30" thickBot="1">
      <c r="A2" s="453"/>
      <c r="B2" s="82"/>
      <c r="C2" s="509" t="s">
        <v>2322</v>
      </c>
      <c r="D2" s="509"/>
      <c r="E2" s="509"/>
      <c r="F2" s="509"/>
      <c r="G2" s="509"/>
      <c r="H2" s="509"/>
      <c r="I2" s="509"/>
      <c r="J2" s="509"/>
      <c r="K2" s="509"/>
      <c r="L2" s="509"/>
      <c r="M2" s="509"/>
    </row>
    <row r="3" spans="1:13" ht="18" customHeight="1">
      <c r="A3" s="512" t="s">
        <v>1627</v>
      </c>
      <c r="B3" s="516" t="s">
        <v>4516</v>
      </c>
      <c r="C3" s="514" t="s">
        <v>0</v>
      </c>
      <c r="D3" s="516" t="s">
        <v>2271</v>
      </c>
      <c r="E3" s="516" t="s">
        <v>1629</v>
      </c>
      <c r="F3" s="514" t="s">
        <v>7</v>
      </c>
      <c r="G3" s="514" t="s">
        <v>2273</v>
      </c>
      <c r="H3" s="514" t="s">
        <v>3</v>
      </c>
      <c r="I3" s="514"/>
      <c r="J3" s="514"/>
      <c r="K3" s="514"/>
      <c r="L3" s="514" t="s">
        <v>1672</v>
      </c>
      <c r="M3" s="510" t="s">
        <v>5</v>
      </c>
    </row>
    <row r="4" spans="1:13" ht="15" thickBot="1">
      <c r="A4" s="513"/>
      <c r="B4" s="517"/>
      <c r="C4" s="515"/>
      <c r="D4" s="517"/>
      <c r="E4" s="517"/>
      <c r="F4" s="515"/>
      <c r="G4" s="515"/>
      <c r="H4" s="457" t="s">
        <v>2208</v>
      </c>
      <c r="I4" s="457" t="s">
        <v>2209</v>
      </c>
      <c r="J4" s="457" t="s">
        <v>2210</v>
      </c>
      <c r="K4" s="457" t="s">
        <v>8</v>
      </c>
      <c r="L4" s="515"/>
      <c r="M4" s="511"/>
    </row>
    <row r="5" spans="1:13" ht="15.75">
      <c r="A5" s="29"/>
      <c r="C5" s="508" t="s">
        <v>80</v>
      </c>
      <c r="D5" s="508"/>
      <c r="E5" s="508"/>
      <c r="F5" s="508"/>
      <c r="G5" s="508"/>
      <c r="H5" s="508"/>
      <c r="I5" s="508"/>
      <c r="J5" s="508"/>
      <c r="K5" s="508"/>
      <c r="L5" s="508"/>
      <c r="M5" s="15"/>
    </row>
    <row r="6" spans="1:13" ht="12.75">
      <c r="A6" s="29">
        <v>1</v>
      </c>
      <c r="B6" s="200" t="s">
        <v>3506</v>
      </c>
      <c r="C6" s="20" t="s">
        <v>3953</v>
      </c>
      <c r="D6" s="210" t="s">
        <v>2963</v>
      </c>
      <c r="E6" s="210" t="s">
        <v>1649</v>
      </c>
      <c r="F6" s="210" t="s">
        <v>2104</v>
      </c>
      <c r="G6" s="210" t="s">
        <v>1642</v>
      </c>
      <c r="H6" s="233" t="s">
        <v>3115</v>
      </c>
      <c r="I6" s="233" t="s">
        <v>3116</v>
      </c>
      <c r="J6" s="233" t="s">
        <v>3117</v>
      </c>
      <c r="K6" s="136" t="s">
        <v>3118</v>
      </c>
      <c r="L6" s="200" t="s">
        <v>3117</v>
      </c>
      <c r="M6" s="210" t="s">
        <v>1906</v>
      </c>
    </row>
    <row r="7" spans="1:13" ht="12.75">
      <c r="A7" s="29"/>
      <c r="B7" s="50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5.75">
      <c r="A8" s="29"/>
      <c r="C8" s="508" t="s">
        <v>42</v>
      </c>
      <c r="D8" s="508"/>
      <c r="E8" s="508"/>
      <c r="F8" s="508"/>
      <c r="G8" s="508"/>
      <c r="H8" s="508"/>
      <c r="I8" s="508"/>
      <c r="J8" s="508"/>
      <c r="K8" s="508"/>
      <c r="L8" s="508"/>
      <c r="M8" s="15"/>
    </row>
    <row r="9" spans="1:13" ht="12.75">
      <c r="A9" s="29">
        <v>1</v>
      </c>
      <c r="B9" s="200" t="s">
        <v>3489</v>
      </c>
      <c r="C9" s="20" t="s">
        <v>3912</v>
      </c>
      <c r="D9" s="210" t="s">
        <v>2965</v>
      </c>
      <c r="E9" s="210" t="s">
        <v>1918</v>
      </c>
      <c r="F9" s="210" t="s">
        <v>2400</v>
      </c>
      <c r="G9" s="210" t="s">
        <v>1642</v>
      </c>
      <c r="H9" s="233" t="s">
        <v>2783</v>
      </c>
      <c r="I9" s="233" t="s">
        <v>3118</v>
      </c>
      <c r="J9" s="233" t="s">
        <v>3119</v>
      </c>
      <c r="K9" s="136" t="s">
        <v>3120</v>
      </c>
      <c r="L9" s="200" t="s">
        <v>3119</v>
      </c>
      <c r="M9" s="210" t="s">
        <v>2968</v>
      </c>
    </row>
    <row r="10" spans="1:13" ht="12.75">
      <c r="A10" s="29"/>
      <c r="B10" s="50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5.75">
      <c r="A11" s="29"/>
      <c r="C11" s="508" t="s">
        <v>2969</v>
      </c>
      <c r="D11" s="508"/>
      <c r="E11" s="508"/>
      <c r="F11" s="508"/>
      <c r="G11" s="508"/>
      <c r="H11" s="508"/>
      <c r="I11" s="508"/>
      <c r="J11" s="508"/>
      <c r="K11" s="508"/>
      <c r="L11" s="508"/>
      <c r="M11" s="15"/>
    </row>
    <row r="12" spans="1:13" ht="12.75">
      <c r="A12" s="29">
        <v>1</v>
      </c>
      <c r="B12" s="110" t="s">
        <v>3506</v>
      </c>
      <c r="C12" s="17" t="s">
        <v>3954</v>
      </c>
      <c r="D12" s="88" t="s">
        <v>3121</v>
      </c>
      <c r="E12" s="88" t="s">
        <v>3122</v>
      </c>
      <c r="F12" s="88" t="s">
        <v>2400</v>
      </c>
      <c r="G12" s="88" t="s">
        <v>2972</v>
      </c>
      <c r="H12" s="231" t="s">
        <v>2783</v>
      </c>
      <c r="I12" s="231" t="s">
        <v>3118</v>
      </c>
      <c r="J12" s="231" t="s">
        <v>3119</v>
      </c>
      <c r="K12" s="234" t="s">
        <v>3120</v>
      </c>
      <c r="L12" s="110" t="s">
        <v>3119</v>
      </c>
      <c r="M12" s="88" t="s">
        <v>2974</v>
      </c>
    </row>
    <row r="13" spans="1:13" ht="12.75">
      <c r="A13" s="29">
        <v>1</v>
      </c>
      <c r="B13" s="111" t="s">
        <v>3506</v>
      </c>
      <c r="C13" s="19" t="s">
        <v>3954</v>
      </c>
      <c r="D13" s="95" t="s">
        <v>2975</v>
      </c>
      <c r="E13" s="95" t="s">
        <v>3122</v>
      </c>
      <c r="F13" s="95" t="s">
        <v>2400</v>
      </c>
      <c r="G13" s="95" t="s">
        <v>2972</v>
      </c>
      <c r="H13" s="234" t="s">
        <v>2783</v>
      </c>
      <c r="I13" s="234" t="s">
        <v>3118</v>
      </c>
      <c r="J13" s="234" t="s">
        <v>3119</v>
      </c>
      <c r="K13" s="234" t="s">
        <v>3120</v>
      </c>
      <c r="L13" s="111" t="s">
        <v>3119</v>
      </c>
      <c r="M13" s="95" t="s">
        <v>2974</v>
      </c>
    </row>
    <row r="14" spans="1:13" ht="12.75">
      <c r="A14" s="29"/>
      <c r="B14" s="50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5.75">
      <c r="A15" s="29"/>
      <c r="C15" s="508" t="s">
        <v>3062</v>
      </c>
      <c r="D15" s="508"/>
      <c r="E15" s="508"/>
      <c r="F15" s="508"/>
      <c r="G15" s="508"/>
      <c r="H15" s="508"/>
      <c r="I15" s="508"/>
      <c r="J15" s="508"/>
      <c r="K15" s="508"/>
      <c r="L15" s="508"/>
      <c r="M15" s="15"/>
    </row>
    <row r="16" spans="1:13" ht="12.75">
      <c r="A16" s="29">
        <v>1</v>
      </c>
      <c r="B16" s="200" t="s">
        <v>3506</v>
      </c>
      <c r="C16" s="20" t="s">
        <v>3955</v>
      </c>
      <c r="D16" s="210" t="s">
        <v>3064</v>
      </c>
      <c r="E16" s="210" t="s">
        <v>1778</v>
      </c>
      <c r="F16" s="210" t="s">
        <v>2400</v>
      </c>
      <c r="G16" s="210" t="s">
        <v>1642</v>
      </c>
      <c r="H16" s="233" t="s">
        <v>3123</v>
      </c>
      <c r="I16" s="233" t="s">
        <v>1958</v>
      </c>
      <c r="J16" s="136" t="s">
        <v>3124</v>
      </c>
      <c r="K16" s="201"/>
      <c r="L16" s="200" t="s">
        <v>1958</v>
      </c>
      <c r="M16" s="210" t="s">
        <v>2968</v>
      </c>
    </row>
    <row r="17" spans="1:13" ht="12.75">
      <c r="A17" s="29"/>
      <c r="B17" s="5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5.75">
      <c r="A18" s="29"/>
      <c r="C18" s="508" t="s">
        <v>2977</v>
      </c>
      <c r="D18" s="508"/>
      <c r="E18" s="508"/>
      <c r="F18" s="508"/>
      <c r="G18" s="508"/>
      <c r="H18" s="508"/>
      <c r="I18" s="508"/>
      <c r="J18" s="508"/>
      <c r="K18" s="508"/>
      <c r="L18" s="508"/>
      <c r="M18" s="15"/>
    </row>
    <row r="19" spans="1:13" ht="12.75">
      <c r="A19" s="29">
        <v>1</v>
      </c>
      <c r="B19" s="110" t="s">
        <v>3526</v>
      </c>
      <c r="C19" s="17" t="s">
        <v>3956</v>
      </c>
      <c r="D19" s="88" t="s">
        <v>3073</v>
      </c>
      <c r="E19" s="88" t="s">
        <v>1772</v>
      </c>
      <c r="F19" s="88" t="s">
        <v>2293</v>
      </c>
      <c r="G19" s="88" t="s">
        <v>201</v>
      </c>
      <c r="H19" s="231" t="s">
        <v>3125</v>
      </c>
      <c r="I19" s="231" t="s">
        <v>3123</v>
      </c>
      <c r="J19" s="231" t="s">
        <v>1958</v>
      </c>
      <c r="K19" s="121" t="s">
        <v>1632</v>
      </c>
      <c r="L19" s="110" t="s">
        <v>1958</v>
      </c>
      <c r="M19" s="88" t="s">
        <v>3074</v>
      </c>
    </row>
    <row r="20" spans="1:13" ht="12.75">
      <c r="A20" s="29">
        <v>2</v>
      </c>
      <c r="B20" s="193" t="s">
        <v>3493</v>
      </c>
      <c r="C20" s="18" t="s">
        <v>3957</v>
      </c>
      <c r="D20" s="93" t="s">
        <v>2989</v>
      </c>
      <c r="E20" s="93" t="s">
        <v>1783</v>
      </c>
      <c r="F20" s="93" t="s">
        <v>2865</v>
      </c>
      <c r="G20" s="93" t="s">
        <v>2866</v>
      </c>
      <c r="H20" s="232" t="s">
        <v>2913</v>
      </c>
      <c r="I20" s="232" t="s">
        <v>1888</v>
      </c>
      <c r="J20" s="232" t="s">
        <v>3126</v>
      </c>
      <c r="K20" s="103" t="s">
        <v>3124</v>
      </c>
      <c r="L20" s="193" t="s">
        <v>3126</v>
      </c>
      <c r="M20" s="93" t="s">
        <v>51</v>
      </c>
    </row>
    <row r="21" spans="1:13" ht="12.75">
      <c r="A21" s="29">
        <v>3</v>
      </c>
      <c r="B21" s="111" t="s">
        <v>2215</v>
      </c>
      <c r="C21" s="19" t="s">
        <v>3958</v>
      </c>
      <c r="D21" s="95" t="s">
        <v>3128</v>
      </c>
      <c r="E21" s="95" t="s">
        <v>1960</v>
      </c>
      <c r="F21" s="95" t="s">
        <v>2293</v>
      </c>
      <c r="G21" s="95" t="s">
        <v>23</v>
      </c>
      <c r="H21" s="234" t="s">
        <v>2819</v>
      </c>
      <c r="I21" s="234" t="s">
        <v>2807</v>
      </c>
      <c r="J21" s="234" t="s">
        <v>2913</v>
      </c>
      <c r="K21" s="109"/>
      <c r="L21" s="111" t="s">
        <v>2913</v>
      </c>
      <c r="M21" s="95" t="s">
        <v>51</v>
      </c>
    </row>
    <row r="22" spans="1:13" ht="12.75">
      <c r="A22" s="29"/>
      <c r="B22" s="5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5.75">
      <c r="A23" s="29"/>
      <c r="C23" s="508" t="s">
        <v>59</v>
      </c>
      <c r="D23" s="508"/>
      <c r="E23" s="508"/>
      <c r="F23" s="508"/>
      <c r="G23" s="508"/>
      <c r="H23" s="508"/>
      <c r="I23" s="508"/>
      <c r="J23" s="508"/>
      <c r="K23" s="508"/>
      <c r="L23" s="508"/>
      <c r="M23" s="15"/>
    </row>
    <row r="24" spans="1:13" ht="12.75">
      <c r="A24" s="29">
        <v>1</v>
      </c>
      <c r="B24" s="110" t="s">
        <v>3526</v>
      </c>
      <c r="C24" s="17" t="s">
        <v>3959</v>
      </c>
      <c r="D24" s="88" t="s">
        <v>2998</v>
      </c>
      <c r="E24" s="88" t="s">
        <v>32</v>
      </c>
      <c r="F24" s="88" t="s">
        <v>2865</v>
      </c>
      <c r="G24" s="88" t="s">
        <v>2866</v>
      </c>
      <c r="H24" s="231" t="s">
        <v>2913</v>
      </c>
      <c r="I24" s="231" t="s">
        <v>1958</v>
      </c>
      <c r="J24" s="121" t="s">
        <v>3124</v>
      </c>
      <c r="K24" s="101"/>
      <c r="L24" s="110" t="s">
        <v>1958</v>
      </c>
      <c r="M24" s="88" t="s">
        <v>2869</v>
      </c>
    </row>
    <row r="25" spans="1:13" ht="12.75">
      <c r="A25" s="29">
        <v>1</v>
      </c>
      <c r="B25" s="193" t="s">
        <v>3489</v>
      </c>
      <c r="C25" s="18" t="s">
        <v>3883</v>
      </c>
      <c r="D25" s="93" t="s">
        <v>2291</v>
      </c>
      <c r="E25" s="93" t="s">
        <v>2660</v>
      </c>
      <c r="F25" s="93" t="s">
        <v>2293</v>
      </c>
      <c r="G25" s="93" t="s">
        <v>196</v>
      </c>
      <c r="H25" s="232" t="s">
        <v>1958</v>
      </c>
      <c r="I25" s="232" t="s">
        <v>3124</v>
      </c>
      <c r="J25" s="232" t="s">
        <v>1713</v>
      </c>
      <c r="K25" s="102"/>
      <c r="L25" s="193" t="s">
        <v>1713</v>
      </c>
      <c r="M25" s="93" t="s">
        <v>51</v>
      </c>
    </row>
    <row r="26" spans="1:13" ht="12.75">
      <c r="A26" s="29">
        <v>2</v>
      </c>
      <c r="B26" s="193" t="s">
        <v>3493</v>
      </c>
      <c r="C26" s="18" t="s">
        <v>3959</v>
      </c>
      <c r="D26" s="93" t="s">
        <v>3002</v>
      </c>
      <c r="E26" s="93" t="s">
        <v>32</v>
      </c>
      <c r="F26" s="93" t="s">
        <v>2865</v>
      </c>
      <c r="G26" s="93" t="s">
        <v>2866</v>
      </c>
      <c r="H26" s="232" t="s">
        <v>2913</v>
      </c>
      <c r="I26" s="232" t="s">
        <v>1958</v>
      </c>
      <c r="J26" s="103" t="s">
        <v>3124</v>
      </c>
      <c r="K26" s="102"/>
      <c r="L26" s="193" t="s">
        <v>1958</v>
      </c>
      <c r="M26" s="93" t="s">
        <v>2869</v>
      </c>
    </row>
    <row r="27" spans="1:13" ht="12.75">
      <c r="A27" s="29">
        <v>1</v>
      </c>
      <c r="B27" s="111"/>
      <c r="C27" s="19" t="s">
        <v>3960</v>
      </c>
      <c r="D27" s="95" t="s">
        <v>3129</v>
      </c>
      <c r="E27" s="95" t="s">
        <v>32</v>
      </c>
      <c r="F27" s="95" t="s">
        <v>31</v>
      </c>
      <c r="G27" s="95" t="s">
        <v>1642</v>
      </c>
      <c r="H27" s="234" t="s">
        <v>3125</v>
      </c>
      <c r="I27" s="234" t="s">
        <v>3123</v>
      </c>
      <c r="J27" s="234" t="s">
        <v>1958</v>
      </c>
      <c r="K27" s="112" t="s">
        <v>1632</v>
      </c>
      <c r="L27" s="111" t="s">
        <v>1958</v>
      </c>
      <c r="M27" s="95" t="s">
        <v>51</v>
      </c>
    </row>
    <row r="28" spans="1:13" ht="12.75">
      <c r="A28" s="29"/>
      <c r="B28" s="50"/>
      <c r="C28" s="15"/>
      <c r="D28" s="15"/>
      <c r="E28" s="15"/>
      <c r="F28" s="15"/>
      <c r="G28" s="15"/>
      <c r="H28" s="50"/>
      <c r="I28" s="50"/>
      <c r="J28" s="50"/>
      <c r="K28" s="50"/>
      <c r="L28" s="50"/>
      <c r="M28" s="15"/>
    </row>
    <row r="29" spans="1:13" ht="15.75">
      <c r="A29" s="29"/>
      <c r="C29" s="508" t="s">
        <v>227</v>
      </c>
      <c r="D29" s="508"/>
      <c r="E29" s="508"/>
      <c r="F29" s="508"/>
      <c r="G29" s="508"/>
      <c r="H29" s="508"/>
      <c r="I29" s="508"/>
      <c r="J29" s="508"/>
      <c r="K29" s="508"/>
      <c r="L29" s="508"/>
      <c r="M29" s="15"/>
    </row>
    <row r="30" spans="1:13" ht="12.75">
      <c r="A30" s="29">
        <v>1</v>
      </c>
      <c r="B30" s="110"/>
      <c r="C30" s="17" t="s">
        <v>3961</v>
      </c>
      <c r="D30" s="88" t="s">
        <v>3131</v>
      </c>
      <c r="E30" s="88" t="s">
        <v>2024</v>
      </c>
      <c r="F30" s="88" t="s">
        <v>31</v>
      </c>
      <c r="G30" s="88" t="s">
        <v>2980</v>
      </c>
      <c r="H30" s="231" t="s">
        <v>1958</v>
      </c>
      <c r="I30" s="231" t="s">
        <v>1713</v>
      </c>
      <c r="J30" s="231" t="s">
        <v>3069</v>
      </c>
      <c r="K30" s="121" t="s">
        <v>3132</v>
      </c>
      <c r="L30" s="110" t="s">
        <v>3069</v>
      </c>
      <c r="M30" s="88" t="s">
        <v>51</v>
      </c>
    </row>
    <row r="31" spans="1:13" ht="12.75">
      <c r="A31" s="29">
        <v>2</v>
      </c>
      <c r="B31" s="193"/>
      <c r="C31" s="18" t="s">
        <v>3962</v>
      </c>
      <c r="D31" s="93" t="s">
        <v>3134</v>
      </c>
      <c r="E31" s="93" t="s">
        <v>3135</v>
      </c>
      <c r="F31" s="93" t="s">
        <v>31</v>
      </c>
      <c r="G31" s="93" t="s">
        <v>1642</v>
      </c>
      <c r="H31" s="232" t="s">
        <v>1958</v>
      </c>
      <c r="I31" s="232" t="s">
        <v>3124</v>
      </c>
      <c r="J31" s="232" t="s">
        <v>1713</v>
      </c>
      <c r="K31" s="103" t="s">
        <v>3069</v>
      </c>
      <c r="L31" s="193" t="s">
        <v>1713</v>
      </c>
      <c r="M31" s="93" t="s">
        <v>3136</v>
      </c>
    </row>
    <row r="32" spans="1:13" ht="12.75">
      <c r="A32" s="29">
        <v>3</v>
      </c>
      <c r="B32" s="111" t="s">
        <v>2215</v>
      </c>
      <c r="C32" s="19" t="s">
        <v>3907</v>
      </c>
      <c r="D32" s="95" t="s">
        <v>485</v>
      </c>
      <c r="E32" s="95" t="s">
        <v>3023</v>
      </c>
      <c r="F32" s="95" t="s">
        <v>2348</v>
      </c>
      <c r="G32" s="95" t="s">
        <v>1642</v>
      </c>
      <c r="H32" s="234" t="s">
        <v>1958</v>
      </c>
      <c r="I32" s="234" t="s">
        <v>3124</v>
      </c>
      <c r="J32" s="112" t="s">
        <v>1089</v>
      </c>
      <c r="K32" s="109"/>
      <c r="L32" s="111" t="s">
        <v>3124</v>
      </c>
      <c r="M32" s="95" t="s">
        <v>27</v>
      </c>
    </row>
    <row r="33" spans="1:13" ht="12.75">
      <c r="A33" s="29"/>
      <c r="B33" s="5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5.75">
      <c r="A34" s="29"/>
      <c r="C34" s="508" t="s">
        <v>3032</v>
      </c>
      <c r="D34" s="508"/>
      <c r="E34" s="508"/>
      <c r="F34" s="508"/>
      <c r="G34" s="508"/>
      <c r="H34" s="508"/>
      <c r="I34" s="508"/>
      <c r="J34" s="508"/>
      <c r="K34" s="508"/>
      <c r="L34" s="508"/>
      <c r="M34" s="15"/>
    </row>
    <row r="35" spans="1:13" ht="12.75">
      <c r="A35" s="29">
        <v>1</v>
      </c>
      <c r="B35" s="200" t="s">
        <v>3489</v>
      </c>
      <c r="C35" s="20" t="s">
        <v>3939</v>
      </c>
      <c r="D35" s="210" t="s">
        <v>3033</v>
      </c>
      <c r="E35" s="210" t="s">
        <v>3034</v>
      </c>
      <c r="F35" s="210" t="s">
        <v>2400</v>
      </c>
      <c r="G35" s="210" t="s">
        <v>1642</v>
      </c>
      <c r="H35" s="233" t="s">
        <v>3124</v>
      </c>
      <c r="I35" s="233" t="s">
        <v>1713</v>
      </c>
      <c r="J35" s="233" t="s">
        <v>3069</v>
      </c>
      <c r="K35" s="136" t="s">
        <v>1923</v>
      </c>
      <c r="L35" s="200" t="s">
        <v>3069</v>
      </c>
      <c r="M35" s="210" t="s">
        <v>2968</v>
      </c>
    </row>
    <row r="36" spans="1:13" ht="12.75">
      <c r="A36" s="29"/>
      <c r="B36" s="5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15.75">
      <c r="A37" s="29"/>
      <c r="C37" s="508" t="s">
        <v>499</v>
      </c>
      <c r="D37" s="508"/>
      <c r="E37" s="508"/>
      <c r="F37" s="508"/>
      <c r="G37" s="508"/>
      <c r="H37" s="508"/>
      <c r="I37" s="508"/>
      <c r="J37" s="508"/>
      <c r="K37" s="508"/>
      <c r="L37" s="508"/>
      <c r="M37" s="15"/>
    </row>
    <row r="38" spans="1:13" ht="12.75">
      <c r="A38" s="29">
        <v>1</v>
      </c>
      <c r="B38" s="110"/>
      <c r="C38" s="17" t="s">
        <v>3961</v>
      </c>
      <c r="D38" s="88" t="s">
        <v>3137</v>
      </c>
      <c r="E38" s="88" t="s">
        <v>2024</v>
      </c>
      <c r="F38" s="88" t="s">
        <v>31</v>
      </c>
      <c r="G38" s="88" t="s">
        <v>2980</v>
      </c>
      <c r="H38" s="231" t="s">
        <v>1958</v>
      </c>
      <c r="I38" s="231" t="s">
        <v>1713</v>
      </c>
      <c r="J38" s="231" t="s">
        <v>3069</v>
      </c>
      <c r="K38" s="121" t="s">
        <v>3132</v>
      </c>
      <c r="L38" s="110" t="s">
        <v>3069</v>
      </c>
      <c r="M38" s="88" t="s">
        <v>51</v>
      </c>
    </row>
    <row r="39" spans="1:13" ht="12.75">
      <c r="A39" s="29">
        <v>2</v>
      </c>
      <c r="B39" s="193"/>
      <c r="C39" s="18" t="s">
        <v>3946</v>
      </c>
      <c r="D39" s="93" t="s">
        <v>3044</v>
      </c>
      <c r="E39" s="93" t="s">
        <v>3105</v>
      </c>
      <c r="F39" s="93" t="s">
        <v>31</v>
      </c>
      <c r="G39" s="93" t="s">
        <v>2980</v>
      </c>
      <c r="H39" s="232" t="s">
        <v>1958</v>
      </c>
      <c r="I39" s="232" t="s">
        <v>3124</v>
      </c>
      <c r="J39" s="232" t="s">
        <v>1713</v>
      </c>
      <c r="K39" s="103" t="s">
        <v>3069</v>
      </c>
      <c r="L39" s="193" t="s">
        <v>1713</v>
      </c>
      <c r="M39" s="93" t="s">
        <v>51</v>
      </c>
    </row>
    <row r="40" spans="1:13" ht="12.75">
      <c r="A40" s="29">
        <v>3</v>
      </c>
      <c r="B40" s="111" t="s">
        <v>2215</v>
      </c>
      <c r="C40" s="19" t="s">
        <v>3963</v>
      </c>
      <c r="D40" s="95" t="s">
        <v>3046</v>
      </c>
      <c r="E40" s="95" t="s">
        <v>3109</v>
      </c>
      <c r="F40" s="95" t="s">
        <v>3567</v>
      </c>
      <c r="G40" s="95" t="s">
        <v>3047</v>
      </c>
      <c r="H40" s="234" t="s">
        <v>1893</v>
      </c>
      <c r="I40" s="234" t="s">
        <v>3123</v>
      </c>
      <c r="J40" s="112" t="s">
        <v>3126</v>
      </c>
      <c r="K40" s="109"/>
      <c r="L40" s="111" t="s">
        <v>3123</v>
      </c>
      <c r="M40" s="95" t="s">
        <v>3048</v>
      </c>
    </row>
    <row r="41" spans="1:13" ht="12.75">
      <c r="A41" s="29"/>
      <c r="B41" s="5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8">
      <c r="A42" s="29"/>
      <c r="B42" s="50"/>
      <c r="C42" s="16" t="s">
        <v>370</v>
      </c>
      <c r="D42" s="16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5.75">
      <c r="A43" s="29"/>
      <c r="B43" s="50"/>
      <c r="C43" s="22" t="s">
        <v>371</v>
      </c>
      <c r="D43" s="22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3.5">
      <c r="A44" s="29"/>
      <c r="B44" s="50"/>
      <c r="C44" s="24"/>
      <c r="D44" s="25" t="s">
        <v>2102</v>
      </c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3.5">
      <c r="A45" s="29"/>
      <c r="B45" s="326"/>
      <c r="C45" s="181" t="s">
        <v>373</v>
      </c>
      <c r="D45" s="181" t="s">
        <v>374</v>
      </c>
      <c r="E45" s="181" t="s">
        <v>375</v>
      </c>
      <c r="F45" s="181" t="s">
        <v>376</v>
      </c>
      <c r="G45" s="15" t="s">
        <v>2102</v>
      </c>
      <c r="H45" s="15"/>
      <c r="I45" s="15"/>
      <c r="J45" s="15"/>
      <c r="K45" s="15"/>
      <c r="L45" s="15"/>
      <c r="M45" s="15"/>
    </row>
    <row r="46" spans="1:13" ht="12.75">
      <c r="A46" s="29">
        <v>1</v>
      </c>
      <c r="B46" s="50"/>
      <c r="C46" s="90" t="s">
        <v>2964</v>
      </c>
      <c r="D46" s="49" t="s">
        <v>372</v>
      </c>
      <c r="E46" s="50" t="s">
        <v>2321</v>
      </c>
      <c r="F46" s="50" t="s">
        <v>3119</v>
      </c>
      <c r="G46" s="15"/>
      <c r="H46" s="15"/>
      <c r="I46" s="15"/>
      <c r="J46" s="15"/>
      <c r="K46" s="15"/>
      <c r="L46" s="15"/>
      <c r="M46" s="15"/>
    </row>
    <row r="47" spans="1:13" ht="12.75">
      <c r="A47" s="29">
        <v>2</v>
      </c>
      <c r="B47" s="50"/>
      <c r="C47" s="90" t="s">
        <v>2970</v>
      </c>
      <c r="D47" s="49" t="s">
        <v>372</v>
      </c>
      <c r="E47" s="50" t="s">
        <v>3051</v>
      </c>
      <c r="F47" s="50" t="s">
        <v>3119</v>
      </c>
      <c r="G47" s="15"/>
      <c r="H47" s="15"/>
      <c r="I47" s="15"/>
      <c r="J47" s="15"/>
      <c r="K47" s="15"/>
      <c r="L47" s="15"/>
      <c r="M47" s="15"/>
    </row>
    <row r="48" spans="1:13" ht="12.75">
      <c r="A48" s="29">
        <v>3</v>
      </c>
      <c r="B48" s="50"/>
      <c r="C48" s="90" t="s">
        <v>2962</v>
      </c>
      <c r="D48" s="49" t="s">
        <v>372</v>
      </c>
      <c r="E48" s="50" t="s">
        <v>2436</v>
      </c>
      <c r="F48" s="50" t="s">
        <v>3117</v>
      </c>
      <c r="G48" s="15"/>
      <c r="H48" s="15"/>
      <c r="I48" s="15"/>
      <c r="J48" s="15"/>
      <c r="K48" s="15"/>
      <c r="L48" s="15"/>
      <c r="M48" s="15"/>
    </row>
    <row r="49" spans="1:13" ht="12.75">
      <c r="A49" s="29"/>
      <c r="B49" s="5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5.75">
      <c r="A50" s="29"/>
      <c r="B50" s="50"/>
      <c r="C50" s="22" t="s">
        <v>387</v>
      </c>
      <c r="D50" s="22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13.5">
      <c r="A51" s="29"/>
      <c r="B51" s="50"/>
      <c r="C51" s="24"/>
      <c r="D51" s="25" t="s">
        <v>2102</v>
      </c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3.5">
      <c r="A52" s="29"/>
      <c r="B52" s="326"/>
      <c r="C52" s="181" t="s">
        <v>373</v>
      </c>
      <c r="D52" s="181" t="s">
        <v>374</v>
      </c>
      <c r="E52" s="181" t="s">
        <v>375</v>
      </c>
      <c r="F52" s="181" t="s">
        <v>376</v>
      </c>
      <c r="G52" s="15"/>
      <c r="H52" s="15"/>
      <c r="I52" s="15"/>
      <c r="J52" s="15"/>
      <c r="K52" s="15"/>
      <c r="L52" s="15"/>
      <c r="M52" s="15"/>
    </row>
    <row r="53" spans="1:13" ht="12.75">
      <c r="A53" s="29">
        <v>1</v>
      </c>
      <c r="B53" s="50"/>
      <c r="C53" s="90" t="s">
        <v>234</v>
      </c>
      <c r="D53" s="49" t="s">
        <v>3052</v>
      </c>
      <c r="E53" s="50" t="s">
        <v>3053</v>
      </c>
      <c r="F53" s="50" t="s">
        <v>3069</v>
      </c>
      <c r="G53" s="15"/>
      <c r="H53" s="15"/>
      <c r="I53" s="15"/>
      <c r="J53" s="15"/>
      <c r="K53" s="15"/>
      <c r="L53" s="15"/>
      <c r="M53" s="15"/>
    </row>
    <row r="54" spans="1:13" ht="12.75">
      <c r="A54" s="29">
        <v>2</v>
      </c>
      <c r="B54" s="50"/>
      <c r="C54" s="90" t="s">
        <v>3063</v>
      </c>
      <c r="D54" s="49" t="s">
        <v>3052</v>
      </c>
      <c r="E54" s="50" t="s">
        <v>3138</v>
      </c>
      <c r="F54" s="50" t="s">
        <v>1958</v>
      </c>
      <c r="G54" s="15"/>
      <c r="H54" s="15"/>
      <c r="I54" s="15"/>
      <c r="J54" s="15"/>
      <c r="K54" s="15"/>
      <c r="L54" s="15"/>
      <c r="M54" s="15"/>
    </row>
    <row r="55" spans="1:13" ht="12.75">
      <c r="A55" s="29">
        <v>3</v>
      </c>
      <c r="B55" s="50"/>
      <c r="C55" s="90" t="s">
        <v>2997</v>
      </c>
      <c r="D55" s="49" t="s">
        <v>3052</v>
      </c>
      <c r="E55" s="50" t="s">
        <v>1685</v>
      </c>
      <c r="F55" s="50" t="s">
        <v>1958</v>
      </c>
      <c r="G55" s="15"/>
      <c r="H55" s="15"/>
      <c r="I55" s="15"/>
      <c r="J55" s="15"/>
      <c r="K55" s="15"/>
      <c r="L55" s="15"/>
      <c r="M55" s="15"/>
    </row>
    <row r="56" spans="1:13" ht="13.5">
      <c r="A56" s="29"/>
      <c r="B56" s="50"/>
      <c r="C56" s="24"/>
      <c r="D56" s="25" t="s">
        <v>2102</v>
      </c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13.5">
      <c r="A57" s="29"/>
      <c r="B57" s="326"/>
      <c r="C57" s="181" t="s">
        <v>373</v>
      </c>
      <c r="D57" s="181" t="s">
        <v>374</v>
      </c>
      <c r="E57" s="181" t="s">
        <v>375</v>
      </c>
      <c r="F57" s="181" t="s">
        <v>376</v>
      </c>
      <c r="G57" s="15"/>
      <c r="H57" s="15"/>
      <c r="I57" s="15"/>
      <c r="J57" s="15"/>
      <c r="K57" s="15"/>
      <c r="L57" s="15"/>
      <c r="M57" s="15"/>
    </row>
    <row r="58" spans="1:13" ht="12.75">
      <c r="A58" s="29">
        <v>1</v>
      </c>
      <c r="B58" s="50"/>
      <c r="C58" s="90" t="s">
        <v>3130</v>
      </c>
      <c r="D58" s="49" t="s">
        <v>372</v>
      </c>
      <c r="E58" s="50" t="s">
        <v>1684</v>
      </c>
      <c r="F58" s="50" t="s">
        <v>3069</v>
      </c>
      <c r="G58" s="15"/>
      <c r="H58" s="15"/>
      <c r="I58" s="15"/>
      <c r="J58" s="15"/>
      <c r="K58" s="15"/>
      <c r="L58" s="15"/>
      <c r="M58" s="15"/>
    </row>
    <row r="59" spans="1:13" ht="12.75">
      <c r="A59" s="29">
        <v>2</v>
      </c>
      <c r="B59" s="50"/>
      <c r="C59" s="90" t="s">
        <v>2290</v>
      </c>
      <c r="D59" s="49" t="s">
        <v>372</v>
      </c>
      <c r="E59" s="50" t="s">
        <v>1685</v>
      </c>
      <c r="F59" s="50" t="s">
        <v>1713</v>
      </c>
      <c r="G59" s="15"/>
      <c r="H59" s="15"/>
      <c r="I59" s="15"/>
      <c r="J59" s="15"/>
      <c r="K59" s="15"/>
      <c r="L59" s="15"/>
      <c r="M59" s="15"/>
    </row>
    <row r="60" spans="1:13" ht="12.75">
      <c r="A60" s="29">
        <v>3</v>
      </c>
      <c r="B60" s="50"/>
      <c r="C60" s="90" t="s">
        <v>3133</v>
      </c>
      <c r="D60" s="49" t="s">
        <v>372</v>
      </c>
      <c r="E60" s="50" t="s">
        <v>1684</v>
      </c>
      <c r="F60" s="50" t="s">
        <v>1713</v>
      </c>
      <c r="G60" s="15"/>
      <c r="H60" s="15"/>
      <c r="I60" s="15"/>
      <c r="J60" s="15"/>
      <c r="K60" s="15"/>
      <c r="L60" s="15"/>
      <c r="M60" s="15"/>
    </row>
    <row r="61" spans="1:13" ht="13.5">
      <c r="A61" s="29"/>
      <c r="B61" s="50"/>
      <c r="C61" s="24"/>
      <c r="D61" s="25" t="s">
        <v>2102</v>
      </c>
      <c r="E61" s="15"/>
      <c r="F61" s="15"/>
      <c r="G61" s="15"/>
      <c r="H61" s="15"/>
      <c r="I61" s="15"/>
      <c r="J61" s="15"/>
      <c r="K61" s="15"/>
      <c r="L61" s="15"/>
      <c r="M61" s="15"/>
    </row>
    <row r="62" spans="1:13" ht="13.5">
      <c r="A62" s="29"/>
      <c r="B62" s="326"/>
      <c r="C62" s="181" t="s">
        <v>373</v>
      </c>
      <c r="D62" s="181" t="s">
        <v>374</v>
      </c>
      <c r="E62" s="181" t="s">
        <v>375</v>
      </c>
      <c r="F62" s="181" t="s">
        <v>376</v>
      </c>
      <c r="G62" s="15"/>
      <c r="H62" s="15"/>
      <c r="I62" s="15"/>
      <c r="J62" s="15"/>
      <c r="K62" s="15"/>
      <c r="L62" s="15"/>
      <c r="M62" s="15"/>
    </row>
    <row r="63" spans="1:13" ht="12.75">
      <c r="A63" s="29">
        <v>1</v>
      </c>
      <c r="B63" s="50"/>
      <c r="C63" s="90" t="s">
        <v>3130</v>
      </c>
      <c r="D63" s="49" t="s">
        <v>3055</v>
      </c>
      <c r="E63" s="50" t="s">
        <v>771</v>
      </c>
      <c r="F63" s="50" t="s">
        <v>3069</v>
      </c>
      <c r="G63" s="15"/>
      <c r="H63" s="15"/>
      <c r="I63" s="15"/>
      <c r="J63" s="15"/>
      <c r="K63" s="15"/>
      <c r="L63" s="15"/>
      <c r="M63" s="15"/>
    </row>
    <row r="64" spans="1:13" ht="12.75">
      <c r="A64" s="29">
        <v>2</v>
      </c>
      <c r="B64" s="50"/>
      <c r="C64" s="90" t="s">
        <v>3043</v>
      </c>
      <c r="D64" s="49" t="s">
        <v>3055</v>
      </c>
      <c r="E64" s="50" t="s">
        <v>771</v>
      </c>
      <c r="F64" s="50" t="s">
        <v>1713</v>
      </c>
      <c r="G64" s="15"/>
      <c r="H64" s="15"/>
      <c r="I64" s="15"/>
      <c r="J64" s="15"/>
      <c r="K64" s="15"/>
      <c r="L64" s="15"/>
      <c r="M64" s="15"/>
    </row>
    <row r="65" spans="1:13" ht="12.75">
      <c r="A65" s="29">
        <v>3</v>
      </c>
      <c r="B65" s="50"/>
      <c r="C65" s="90" t="s">
        <v>1010</v>
      </c>
      <c r="D65" s="49" t="s">
        <v>3055</v>
      </c>
      <c r="E65" s="50" t="s">
        <v>49</v>
      </c>
      <c r="F65" s="50" t="s">
        <v>1958</v>
      </c>
      <c r="G65" s="15"/>
      <c r="H65" s="15"/>
      <c r="I65" s="15"/>
      <c r="J65" s="15"/>
      <c r="K65" s="15"/>
      <c r="L65" s="15"/>
      <c r="M65" s="15"/>
    </row>
    <row r="66" spans="1:13" ht="12.75">
      <c r="A66" s="29"/>
      <c r="B66" s="5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ht="12.75">
      <c r="A67" s="29"/>
      <c r="B67" s="5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ht="12.75">
      <c r="A68" s="29"/>
      <c r="B68" s="5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ht="12.75">
      <c r="A69" s="29"/>
      <c r="B69" s="5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12.75">
      <c r="A70" s="29"/>
      <c r="B70" s="5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12.75">
      <c r="A71" s="29"/>
      <c r="B71" s="5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</sheetData>
  <sheetProtection/>
  <mergeCells count="21">
    <mergeCell ref="C29:L29"/>
    <mergeCell ref="C34:L34"/>
    <mergeCell ref="C37:L37"/>
    <mergeCell ref="L3:L4"/>
    <mergeCell ref="C18:L18"/>
    <mergeCell ref="C5:L5"/>
    <mergeCell ref="C8:L8"/>
    <mergeCell ref="M3:M4"/>
    <mergeCell ref="C15:L15"/>
    <mergeCell ref="C11:L11"/>
    <mergeCell ref="H3:K3"/>
    <mergeCell ref="C23:L23"/>
    <mergeCell ref="C1:M1"/>
    <mergeCell ref="C2:M2"/>
    <mergeCell ref="A3:A4"/>
    <mergeCell ref="C3:C4"/>
    <mergeCell ref="D3:D4"/>
    <mergeCell ref="E3:E4"/>
    <mergeCell ref="F3:F4"/>
    <mergeCell ref="G3:G4"/>
    <mergeCell ref="B3:B4"/>
  </mergeCells>
  <printOptions/>
  <pageMargins left="0.75" right="0.75" top="1" bottom="1" header="0.5" footer="0.5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9">
      <selection activeCell="H62" sqref="H62"/>
    </sheetView>
  </sheetViews>
  <sheetFormatPr defaultColWidth="8.75390625" defaultRowHeight="12.75"/>
  <cols>
    <col min="1" max="1" width="9.125" style="29" customWidth="1"/>
    <col min="2" max="2" width="11.75390625" style="410" customWidth="1"/>
    <col min="3" max="3" width="32.375" style="15" customWidth="1"/>
    <col min="4" max="4" width="26.875" style="15" bestFit="1" customWidth="1"/>
    <col min="5" max="5" width="10.625" style="15" bestFit="1" customWidth="1"/>
    <col min="6" max="6" width="8.375" style="15" bestFit="1" customWidth="1"/>
    <col min="7" max="7" width="25.00390625" style="15" bestFit="1" customWidth="1"/>
    <col min="8" max="8" width="34.625" style="15" bestFit="1" customWidth="1"/>
    <col min="9" max="11" width="5.625" style="15" bestFit="1" customWidth="1"/>
    <col min="12" max="12" width="4.625" style="15" bestFit="1" customWidth="1"/>
    <col min="13" max="13" width="10.375" style="15" customWidth="1"/>
    <col min="14" max="14" width="8.625" style="15" bestFit="1" customWidth="1"/>
    <col min="15" max="15" width="18.125" style="15" customWidth="1"/>
  </cols>
  <sheetData>
    <row r="1" spans="1:15" s="1" customFormat="1" ht="15" customHeight="1">
      <c r="A1" s="28"/>
      <c r="B1" s="443"/>
      <c r="C1" s="552" t="s">
        <v>2162</v>
      </c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</row>
    <row r="2" spans="1:15" s="1" customFormat="1" ht="108" customHeight="1" thickBot="1">
      <c r="A2" s="28"/>
      <c r="B2" s="44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</row>
    <row r="3" spans="1:15" s="2" customFormat="1" ht="12.75" customHeight="1">
      <c r="A3" s="546" t="s">
        <v>1627</v>
      </c>
      <c r="B3" s="516" t="s">
        <v>4516</v>
      </c>
      <c r="C3" s="542" t="s">
        <v>0</v>
      </c>
      <c r="D3" s="548" t="s">
        <v>1628</v>
      </c>
      <c r="E3" s="548" t="s">
        <v>1629</v>
      </c>
      <c r="F3" s="542" t="s">
        <v>9</v>
      </c>
      <c r="G3" s="542" t="s">
        <v>7</v>
      </c>
      <c r="H3" s="514" t="s">
        <v>3275</v>
      </c>
      <c r="I3" s="542" t="s">
        <v>2</v>
      </c>
      <c r="J3" s="542"/>
      <c r="K3" s="542"/>
      <c r="L3" s="542"/>
      <c r="M3" s="542" t="s">
        <v>1672</v>
      </c>
      <c r="N3" s="542" t="s">
        <v>6</v>
      </c>
      <c r="O3" s="544" t="s">
        <v>5</v>
      </c>
    </row>
    <row r="4" spans="1:15" s="2" customFormat="1" ht="21" customHeight="1" thickBot="1">
      <c r="A4" s="547"/>
      <c r="B4" s="517"/>
      <c r="C4" s="543"/>
      <c r="D4" s="543"/>
      <c r="E4" s="549"/>
      <c r="F4" s="543"/>
      <c r="G4" s="543"/>
      <c r="H4" s="515"/>
      <c r="I4" s="3">
        <v>1</v>
      </c>
      <c r="J4" s="3">
        <v>2</v>
      </c>
      <c r="K4" s="3">
        <v>3</v>
      </c>
      <c r="L4" s="3" t="s">
        <v>8</v>
      </c>
      <c r="M4" s="543"/>
      <c r="N4" s="543"/>
      <c r="O4" s="545"/>
    </row>
    <row r="5" spans="3:14" ht="15.75">
      <c r="C5" s="526" t="s">
        <v>80</v>
      </c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</row>
    <row r="6" spans="3:15" ht="12.75">
      <c r="C6" s="20" t="s">
        <v>949</v>
      </c>
      <c r="D6" s="20" t="s">
        <v>950</v>
      </c>
      <c r="E6" s="20" t="s">
        <v>951</v>
      </c>
      <c r="F6" s="20" t="str">
        <f>"1,1236"</f>
        <v>1,1236</v>
      </c>
      <c r="G6" s="20" t="s">
        <v>31</v>
      </c>
      <c r="H6" s="20" t="s">
        <v>509</v>
      </c>
      <c r="I6" s="45" t="s">
        <v>495</v>
      </c>
      <c r="J6" s="45" t="s">
        <v>495</v>
      </c>
      <c r="K6" s="45" t="s">
        <v>451</v>
      </c>
      <c r="L6" s="31"/>
      <c r="M6" s="33">
        <v>0</v>
      </c>
      <c r="N6" s="33" t="s">
        <v>1639</v>
      </c>
      <c r="O6" s="20" t="s">
        <v>1822</v>
      </c>
    </row>
    <row r="8" spans="3:14" ht="15.75">
      <c r="C8" s="541" t="s">
        <v>18</v>
      </c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</row>
    <row r="9" spans="1:15" ht="12.75">
      <c r="A9" s="29">
        <v>1</v>
      </c>
      <c r="C9" s="20" t="s">
        <v>4655</v>
      </c>
      <c r="D9" s="20" t="s">
        <v>468</v>
      </c>
      <c r="E9" s="20" t="s">
        <v>469</v>
      </c>
      <c r="F9" s="20" t="str">
        <f>"1,0701"</f>
        <v>1,0701</v>
      </c>
      <c r="G9" s="20" t="s">
        <v>31</v>
      </c>
      <c r="H9" s="20" t="s">
        <v>470</v>
      </c>
      <c r="I9" s="119" t="s">
        <v>447</v>
      </c>
      <c r="J9" s="45" t="s">
        <v>101</v>
      </c>
      <c r="K9" s="45" t="s">
        <v>551</v>
      </c>
      <c r="L9" s="31"/>
      <c r="M9" s="33" t="s">
        <v>447</v>
      </c>
      <c r="N9" s="33" t="s">
        <v>2182</v>
      </c>
      <c r="O9" s="20" t="s">
        <v>1953</v>
      </c>
    </row>
    <row r="11" spans="3:14" ht="15.75">
      <c r="C11" s="541" t="s">
        <v>42</v>
      </c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</row>
    <row r="12" spans="1:15" ht="12.75">
      <c r="A12" s="29">
        <v>1</v>
      </c>
      <c r="B12" s="410">
        <v>30</v>
      </c>
      <c r="C12" s="17" t="s">
        <v>4656</v>
      </c>
      <c r="D12" s="17" t="s">
        <v>952</v>
      </c>
      <c r="E12" s="17" t="s">
        <v>572</v>
      </c>
      <c r="F12" s="17" t="str">
        <f>"0,7249"</f>
        <v>0,7249</v>
      </c>
      <c r="G12" s="17" t="s">
        <v>14</v>
      </c>
      <c r="H12" s="17" t="s">
        <v>347</v>
      </c>
      <c r="I12" s="128" t="s">
        <v>64</v>
      </c>
      <c r="J12" s="46" t="s">
        <v>153</v>
      </c>
      <c r="K12" s="128" t="s">
        <v>153</v>
      </c>
      <c r="L12" s="36"/>
      <c r="M12" s="35" t="s">
        <v>153</v>
      </c>
      <c r="N12" s="35" t="str">
        <f>"123,2330"</f>
        <v>123,2330</v>
      </c>
      <c r="O12" s="17" t="s">
        <v>2035</v>
      </c>
    </row>
    <row r="13" spans="1:15" ht="12.75">
      <c r="A13" s="29">
        <v>2</v>
      </c>
      <c r="B13" s="410">
        <v>21</v>
      </c>
      <c r="C13" s="19" t="s">
        <v>4657</v>
      </c>
      <c r="D13" s="19" t="s">
        <v>953</v>
      </c>
      <c r="E13" s="19" t="s">
        <v>954</v>
      </c>
      <c r="F13" s="19" t="str">
        <f>"0,7307"</f>
        <v>0,7307</v>
      </c>
      <c r="G13" s="19" t="s">
        <v>54</v>
      </c>
      <c r="H13" s="19" t="s">
        <v>504</v>
      </c>
      <c r="I13" s="129" t="s">
        <v>480</v>
      </c>
      <c r="J13" s="48" t="s">
        <v>132</v>
      </c>
      <c r="K13" s="129" t="s">
        <v>132</v>
      </c>
      <c r="L13" s="42"/>
      <c r="M13" s="41" t="s">
        <v>132</v>
      </c>
      <c r="N13" s="41" t="str">
        <f>"109,6050"</f>
        <v>109,6050</v>
      </c>
      <c r="O13" s="19" t="s">
        <v>2036</v>
      </c>
    </row>
    <row r="15" spans="3:14" ht="15.75">
      <c r="C15" s="541" t="s">
        <v>116</v>
      </c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1"/>
    </row>
    <row r="16" spans="3:15" ht="12.75">
      <c r="C16" s="17" t="s">
        <v>583</v>
      </c>
      <c r="D16" s="17" t="s">
        <v>584</v>
      </c>
      <c r="E16" s="17" t="s">
        <v>585</v>
      </c>
      <c r="F16" s="17" t="str">
        <f>"0,6744"</f>
        <v>0,6744</v>
      </c>
      <c r="G16" s="17" t="s">
        <v>31</v>
      </c>
      <c r="H16" s="17" t="s">
        <v>347</v>
      </c>
      <c r="I16" s="46" t="s">
        <v>176</v>
      </c>
      <c r="J16" s="46" t="s">
        <v>120</v>
      </c>
      <c r="K16" s="46" t="s">
        <v>120</v>
      </c>
      <c r="L16" s="36"/>
      <c r="M16" s="35">
        <v>0</v>
      </c>
      <c r="N16" s="35" t="s">
        <v>1639</v>
      </c>
      <c r="O16" s="17" t="s">
        <v>51</v>
      </c>
    </row>
    <row r="17" spans="1:15" ht="12.75">
      <c r="A17" s="29">
        <v>1</v>
      </c>
      <c r="B17" s="410">
        <v>36</v>
      </c>
      <c r="C17" s="19" t="s">
        <v>4658</v>
      </c>
      <c r="D17" s="19" t="s">
        <v>956</v>
      </c>
      <c r="E17" s="19" t="s">
        <v>957</v>
      </c>
      <c r="F17" s="19" t="str">
        <f>"0,6709"</f>
        <v>0,6709</v>
      </c>
      <c r="G17" s="19" t="s">
        <v>125</v>
      </c>
      <c r="H17" s="19" t="s">
        <v>958</v>
      </c>
      <c r="I17" s="129" t="s">
        <v>191</v>
      </c>
      <c r="J17" s="129" t="s">
        <v>252</v>
      </c>
      <c r="K17" s="48" t="s">
        <v>253</v>
      </c>
      <c r="L17" s="42"/>
      <c r="M17" s="41">
        <v>217.5</v>
      </c>
      <c r="N17" s="41" t="str">
        <f>"145,9207"</f>
        <v>145,9207</v>
      </c>
      <c r="O17" s="19" t="s">
        <v>51</v>
      </c>
    </row>
    <row r="19" spans="3:14" ht="15.75">
      <c r="C19" s="541" t="s">
        <v>59</v>
      </c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41"/>
    </row>
    <row r="20" spans="1:15" ht="12.75">
      <c r="A20" s="29">
        <v>1</v>
      </c>
      <c r="B20" s="410">
        <v>36</v>
      </c>
      <c r="C20" s="17" t="s">
        <v>4246</v>
      </c>
      <c r="D20" s="17" t="s">
        <v>637</v>
      </c>
      <c r="E20" s="17" t="s">
        <v>638</v>
      </c>
      <c r="F20" s="17" t="str">
        <f>"0,6447"</f>
        <v>0,6447</v>
      </c>
      <c r="G20" s="17" t="s">
        <v>2104</v>
      </c>
      <c r="H20" s="83" t="s">
        <v>1903</v>
      </c>
      <c r="I20" s="131" t="s">
        <v>191</v>
      </c>
      <c r="J20" s="128" t="s">
        <v>245</v>
      </c>
      <c r="K20" s="122" t="s">
        <v>246</v>
      </c>
      <c r="L20" s="101"/>
      <c r="M20" s="35">
        <v>232.5</v>
      </c>
      <c r="N20" s="35" t="str">
        <f>"149,8927"</f>
        <v>149,8927</v>
      </c>
      <c r="O20" s="17" t="s">
        <v>2037</v>
      </c>
    </row>
    <row r="21" spans="1:15" ht="12.75">
      <c r="A21" s="29">
        <v>2</v>
      </c>
      <c r="B21" s="410">
        <v>33</v>
      </c>
      <c r="C21" s="18" t="s">
        <v>4659</v>
      </c>
      <c r="D21" s="18" t="s">
        <v>963</v>
      </c>
      <c r="E21" s="18" t="s">
        <v>964</v>
      </c>
      <c r="F21" s="18" t="str">
        <f>"0,6499"</f>
        <v>0,6499</v>
      </c>
      <c r="G21" s="18" t="s">
        <v>14</v>
      </c>
      <c r="H21" s="92" t="s">
        <v>1903</v>
      </c>
      <c r="I21" s="132" t="s">
        <v>238</v>
      </c>
      <c r="J21" s="47" t="s">
        <v>317</v>
      </c>
      <c r="K21" s="103" t="s">
        <v>317</v>
      </c>
      <c r="L21" s="102"/>
      <c r="M21" s="38" t="s">
        <v>238</v>
      </c>
      <c r="N21" s="38" t="s">
        <v>2185</v>
      </c>
      <c r="O21" s="18" t="s">
        <v>2183</v>
      </c>
    </row>
    <row r="22" spans="1:15" ht="12.75">
      <c r="A22" s="29">
        <v>3</v>
      </c>
      <c r="C22" s="18" t="s">
        <v>3870</v>
      </c>
      <c r="D22" s="18" t="s">
        <v>156</v>
      </c>
      <c r="E22" s="18" t="s">
        <v>157</v>
      </c>
      <c r="F22" s="18" t="str">
        <f>"0,6410"</f>
        <v>0,6410</v>
      </c>
      <c r="G22" s="18" t="s">
        <v>31</v>
      </c>
      <c r="H22" s="92" t="s">
        <v>1675</v>
      </c>
      <c r="I22" s="127" t="s">
        <v>190</v>
      </c>
      <c r="J22" s="130" t="s">
        <v>190</v>
      </c>
      <c r="K22" s="103" t="s">
        <v>191</v>
      </c>
      <c r="L22" s="102"/>
      <c r="M22" s="38" t="s">
        <v>190</v>
      </c>
      <c r="N22" s="38" t="s">
        <v>876</v>
      </c>
      <c r="O22" s="18" t="s">
        <v>158</v>
      </c>
    </row>
    <row r="23" spans="1:15" ht="12.75">
      <c r="A23" s="29">
        <v>4</v>
      </c>
      <c r="C23" s="18" t="s">
        <v>4660</v>
      </c>
      <c r="D23" s="18" t="s">
        <v>959</v>
      </c>
      <c r="E23" s="18" t="s">
        <v>960</v>
      </c>
      <c r="F23" s="18" t="str">
        <f>"0,6566"</f>
        <v>0,6566</v>
      </c>
      <c r="G23" s="18" t="s">
        <v>31</v>
      </c>
      <c r="H23" s="92" t="s">
        <v>196</v>
      </c>
      <c r="I23" s="132" t="s">
        <v>127</v>
      </c>
      <c r="J23" s="47" t="s">
        <v>635</v>
      </c>
      <c r="K23" s="103" t="s">
        <v>635</v>
      </c>
      <c r="L23" s="102"/>
      <c r="M23" s="38" t="s">
        <v>127</v>
      </c>
      <c r="N23" s="38" t="s">
        <v>2184</v>
      </c>
      <c r="O23" s="18" t="s">
        <v>961</v>
      </c>
    </row>
    <row r="24" spans="1:15" ht="12.75">
      <c r="A24" s="29">
        <v>1</v>
      </c>
      <c r="B24" s="410">
        <v>36</v>
      </c>
      <c r="C24" s="19" t="s">
        <v>4246</v>
      </c>
      <c r="D24" s="19" t="s">
        <v>648</v>
      </c>
      <c r="E24" s="19" t="s">
        <v>638</v>
      </c>
      <c r="F24" s="19" t="str">
        <f>"0,6447"</f>
        <v>0,6447</v>
      </c>
      <c r="G24" s="19" t="s">
        <v>2104</v>
      </c>
      <c r="H24" s="94" t="s">
        <v>1903</v>
      </c>
      <c r="I24" s="133" t="s">
        <v>191</v>
      </c>
      <c r="J24" s="129" t="s">
        <v>245</v>
      </c>
      <c r="K24" s="124" t="s">
        <v>246</v>
      </c>
      <c r="L24" s="109"/>
      <c r="M24" s="41">
        <v>232.5</v>
      </c>
      <c r="N24" s="41" t="str">
        <f>"151,9912"</f>
        <v>151,9912</v>
      </c>
      <c r="O24" s="19" t="s">
        <v>2037</v>
      </c>
    </row>
    <row r="26" spans="3:14" ht="15.75">
      <c r="C26" s="541" t="s">
        <v>164</v>
      </c>
      <c r="D26" s="541"/>
      <c r="E26" s="541"/>
      <c r="F26" s="541"/>
      <c r="G26" s="541"/>
      <c r="H26" s="541"/>
      <c r="I26" s="541"/>
      <c r="J26" s="541"/>
      <c r="K26" s="541"/>
      <c r="L26" s="541"/>
      <c r="M26" s="541"/>
      <c r="N26" s="541"/>
    </row>
    <row r="27" spans="1:15" ht="12.75">
      <c r="A27" s="29">
        <v>1</v>
      </c>
      <c r="C27" s="17" t="s">
        <v>4661</v>
      </c>
      <c r="D27" s="88" t="s">
        <v>965</v>
      </c>
      <c r="E27" s="17" t="s">
        <v>966</v>
      </c>
      <c r="F27" s="17" t="str">
        <f>"0,6086"</f>
        <v>0,6086</v>
      </c>
      <c r="G27" s="17" t="s">
        <v>31</v>
      </c>
      <c r="H27" s="17" t="s">
        <v>967</v>
      </c>
      <c r="I27" s="128" t="s">
        <v>190</v>
      </c>
      <c r="J27" s="46" t="s">
        <v>192</v>
      </c>
      <c r="K27" s="128" t="s">
        <v>192</v>
      </c>
      <c r="L27" s="36"/>
      <c r="M27" s="35" t="s">
        <v>192</v>
      </c>
      <c r="N27" s="35" t="str">
        <f>"130,8490"</f>
        <v>130,8490</v>
      </c>
      <c r="O27" s="17" t="s">
        <v>51</v>
      </c>
    </row>
    <row r="28" spans="1:15" ht="12.75">
      <c r="A28" s="29">
        <v>1</v>
      </c>
      <c r="C28" s="19" t="s">
        <v>4661</v>
      </c>
      <c r="D28" s="95" t="s">
        <v>968</v>
      </c>
      <c r="E28" s="19" t="s">
        <v>966</v>
      </c>
      <c r="F28" s="19" t="str">
        <f>"0,6086"</f>
        <v>0,6086</v>
      </c>
      <c r="G28" s="19" t="s">
        <v>31</v>
      </c>
      <c r="H28" s="19" t="s">
        <v>967</v>
      </c>
      <c r="I28" s="129" t="s">
        <v>190</v>
      </c>
      <c r="J28" s="48" t="s">
        <v>192</v>
      </c>
      <c r="K28" s="129" t="s">
        <v>192</v>
      </c>
      <c r="L28" s="42"/>
      <c r="M28" s="41" t="s">
        <v>192</v>
      </c>
      <c r="N28" s="41" t="str">
        <f>"131,5032"</f>
        <v>131,5032</v>
      </c>
      <c r="O28" s="19" t="s">
        <v>51</v>
      </c>
    </row>
    <row r="30" spans="3:14" ht="13.5" customHeight="1">
      <c r="C30" s="541" t="s">
        <v>227</v>
      </c>
      <c r="D30" s="541"/>
      <c r="E30" s="541"/>
      <c r="F30" s="541"/>
      <c r="G30" s="541"/>
      <c r="H30" s="541"/>
      <c r="I30" s="541"/>
      <c r="J30" s="541"/>
      <c r="K30" s="541"/>
      <c r="L30" s="541"/>
      <c r="M30" s="541"/>
      <c r="N30" s="541"/>
    </row>
    <row r="31" spans="1:15" ht="12.75">
      <c r="A31" s="29">
        <v>1</v>
      </c>
      <c r="C31" s="17" t="s">
        <v>4662</v>
      </c>
      <c r="D31" s="88" t="s">
        <v>970</v>
      </c>
      <c r="E31" s="17" t="s">
        <v>248</v>
      </c>
      <c r="F31" s="17" t="str">
        <f>"0,5921"</f>
        <v>0,5921</v>
      </c>
      <c r="G31" s="17" t="s">
        <v>31</v>
      </c>
      <c r="H31" s="17" t="s">
        <v>222</v>
      </c>
      <c r="I31" s="128" t="s">
        <v>319</v>
      </c>
      <c r="J31" s="46" t="s">
        <v>884</v>
      </c>
      <c r="K31" s="46"/>
      <c r="L31" s="36"/>
      <c r="M31" s="35" t="s">
        <v>319</v>
      </c>
      <c r="N31" s="35" t="str">
        <f>"148,0250"</f>
        <v>148,0250</v>
      </c>
      <c r="O31" s="17" t="s">
        <v>1837</v>
      </c>
    </row>
    <row r="32" spans="1:15" ht="12.75">
      <c r="A32" s="29">
        <v>1</v>
      </c>
      <c r="C32" s="18" t="s">
        <v>4662</v>
      </c>
      <c r="D32" s="93" t="s">
        <v>971</v>
      </c>
      <c r="E32" s="18" t="s">
        <v>248</v>
      </c>
      <c r="F32" s="18" t="str">
        <f>"0,5921"</f>
        <v>0,5921</v>
      </c>
      <c r="G32" s="18" t="s">
        <v>31</v>
      </c>
      <c r="H32" s="18" t="s">
        <v>222</v>
      </c>
      <c r="I32" s="130" t="s">
        <v>319</v>
      </c>
      <c r="J32" s="47" t="s">
        <v>884</v>
      </c>
      <c r="K32" s="47"/>
      <c r="L32" s="39"/>
      <c r="M32" s="38" t="s">
        <v>319</v>
      </c>
      <c r="N32" s="38" t="str">
        <f>"148,7651"</f>
        <v>148,7651</v>
      </c>
      <c r="O32" s="18" t="s">
        <v>1837</v>
      </c>
    </row>
    <row r="33" spans="1:15" ht="12.75">
      <c r="A33" s="29">
        <v>2</v>
      </c>
      <c r="B33" s="410">
        <v>21</v>
      </c>
      <c r="C33" s="19" t="s">
        <v>4663</v>
      </c>
      <c r="D33" s="95" t="s">
        <v>973</v>
      </c>
      <c r="E33" s="19" t="s">
        <v>974</v>
      </c>
      <c r="F33" s="19" t="str">
        <f>"0,5948"</f>
        <v>0,5948</v>
      </c>
      <c r="G33" s="19" t="s">
        <v>130</v>
      </c>
      <c r="H33" s="19" t="s">
        <v>2245</v>
      </c>
      <c r="I33" s="48" t="s">
        <v>108</v>
      </c>
      <c r="J33" s="129" t="s">
        <v>108</v>
      </c>
      <c r="K33" s="129" t="s">
        <v>169</v>
      </c>
      <c r="L33" s="42"/>
      <c r="M33" s="41">
        <v>197.5</v>
      </c>
      <c r="N33" s="41" t="str">
        <f>"165,6369"</f>
        <v>165,6369</v>
      </c>
      <c r="O33" s="19" t="s">
        <v>2038</v>
      </c>
    </row>
    <row r="35" spans="3:14" ht="15.75">
      <c r="C35" s="541" t="s">
        <v>304</v>
      </c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1"/>
    </row>
    <row r="36" spans="1:15" ht="12.75">
      <c r="A36" s="29">
        <v>1</v>
      </c>
      <c r="C36" s="20" t="s">
        <v>4664</v>
      </c>
      <c r="D36" s="20" t="s">
        <v>751</v>
      </c>
      <c r="E36" s="20" t="s">
        <v>752</v>
      </c>
      <c r="F36" s="20" t="str">
        <f>"0,5711"</f>
        <v>0,5711</v>
      </c>
      <c r="G36" s="20" t="s">
        <v>31</v>
      </c>
      <c r="H36" s="20" t="s">
        <v>465</v>
      </c>
      <c r="I36" s="119" t="s">
        <v>127</v>
      </c>
      <c r="J36" s="119" t="s">
        <v>108</v>
      </c>
      <c r="K36" s="119" t="s">
        <v>120</v>
      </c>
      <c r="L36" s="31"/>
      <c r="M36" s="33" t="s">
        <v>120</v>
      </c>
      <c r="N36" s="33" t="str">
        <f>"153,6830"</f>
        <v>153,6830</v>
      </c>
      <c r="O36" s="20" t="s">
        <v>1953</v>
      </c>
    </row>
    <row r="38" spans="3:4" ht="18">
      <c r="C38" s="16" t="s">
        <v>370</v>
      </c>
      <c r="D38" s="16"/>
    </row>
    <row r="39" spans="3:8" ht="15.75">
      <c r="C39" s="22" t="s">
        <v>387</v>
      </c>
      <c r="D39" s="22"/>
      <c r="H39" s="15" t="s">
        <v>2102</v>
      </c>
    </row>
    <row r="40" spans="3:4" ht="13.5">
      <c r="C40" s="24"/>
      <c r="D40" s="25" t="s">
        <v>2102</v>
      </c>
    </row>
    <row r="41" spans="3:7" ht="13.5">
      <c r="C41" s="26" t="s">
        <v>373</v>
      </c>
      <c r="D41" s="26" t="s">
        <v>374</v>
      </c>
      <c r="E41" s="26" t="s">
        <v>375</v>
      </c>
      <c r="F41" s="26" t="s">
        <v>376</v>
      </c>
      <c r="G41" s="26" t="s">
        <v>377</v>
      </c>
    </row>
    <row r="42" spans="1:7" ht="12.75">
      <c r="A42" s="29">
        <v>1</v>
      </c>
      <c r="C42" s="90" t="s">
        <v>636</v>
      </c>
      <c r="D42" s="49" t="s">
        <v>372</v>
      </c>
      <c r="E42" s="49" t="s">
        <v>378</v>
      </c>
      <c r="F42" s="49" t="s">
        <v>246</v>
      </c>
      <c r="G42" s="50" t="s">
        <v>975</v>
      </c>
    </row>
    <row r="43" spans="1:7" ht="12.75">
      <c r="A43" s="29">
        <v>2</v>
      </c>
      <c r="C43" s="90" t="s">
        <v>962</v>
      </c>
      <c r="D43" s="49" t="s">
        <v>372</v>
      </c>
      <c r="E43" s="49" t="s">
        <v>2186</v>
      </c>
      <c r="F43" s="49" t="s">
        <v>238</v>
      </c>
      <c r="G43" s="50" t="s">
        <v>2185</v>
      </c>
    </row>
    <row r="44" spans="1:7" ht="12.75">
      <c r="A44" s="29">
        <v>3</v>
      </c>
      <c r="C44" s="90" t="s">
        <v>969</v>
      </c>
      <c r="D44" s="49" t="s">
        <v>372</v>
      </c>
      <c r="E44" s="49" t="s">
        <v>392</v>
      </c>
      <c r="F44" s="49" t="s">
        <v>319</v>
      </c>
      <c r="G44" s="50" t="s">
        <v>976</v>
      </c>
    </row>
    <row r="45" spans="3:4" ht="13.5">
      <c r="C45" s="24"/>
      <c r="D45" s="25" t="s">
        <v>2102</v>
      </c>
    </row>
    <row r="46" spans="3:7" ht="13.5">
      <c r="C46" s="26" t="s">
        <v>373</v>
      </c>
      <c r="D46" s="26" t="s">
        <v>374</v>
      </c>
      <c r="E46" s="26" t="s">
        <v>375</v>
      </c>
      <c r="F46" s="26" t="s">
        <v>376</v>
      </c>
      <c r="G46" s="26" t="s">
        <v>377</v>
      </c>
    </row>
    <row r="47" spans="1:7" ht="12.75">
      <c r="A47" s="29">
        <v>1</v>
      </c>
      <c r="C47" s="90" t="s">
        <v>972</v>
      </c>
      <c r="D47" s="49" t="s">
        <v>407</v>
      </c>
      <c r="E47" s="49" t="s">
        <v>392</v>
      </c>
      <c r="F47" s="49" t="s">
        <v>169</v>
      </c>
      <c r="G47" s="50" t="s">
        <v>977</v>
      </c>
    </row>
    <row r="48" spans="1:7" ht="12.75">
      <c r="A48" s="29">
        <v>2</v>
      </c>
      <c r="C48" s="90" t="s">
        <v>750</v>
      </c>
      <c r="D48" s="49" t="s">
        <v>407</v>
      </c>
      <c r="E48" s="49" t="s">
        <v>389</v>
      </c>
      <c r="F48" s="49" t="s">
        <v>120</v>
      </c>
      <c r="G48" s="50" t="s">
        <v>978</v>
      </c>
    </row>
    <row r="49" spans="1:7" ht="12.75">
      <c r="A49" s="29">
        <v>3</v>
      </c>
      <c r="C49" s="90" t="s">
        <v>636</v>
      </c>
      <c r="D49" s="49" t="s">
        <v>386</v>
      </c>
      <c r="E49" s="49" t="s">
        <v>378</v>
      </c>
      <c r="F49" s="49" t="s">
        <v>246</v>
      </c>
      <c r="G49" s="50" t="s">
        <v>979</v>
      </c>
    </row>
  </sheetData>
  <sheetProtection/>
  <mergeCells count="21">
    <mergeCell ref="C5:N5"/>
    <mergeCell ref="C8:N8"/>
    <mergeCell ref="C35:N35"/>
    <mergeCell ref="M3:M4"/>
    <mergeCell ref="N3:N4"/>
    <mergeCell ref="H3:H4"/>
    <mergeCell ref="I3:L3"/>
    <mergeCell ref="C15:N15"/>
    <mergeCell ref="C19:N19"/>
    <mergeCell ref="C11:N11"/>
    <mergeCell ref="C26:N26"/>
    <mergeCell ref="C30:N30"/>
    <mergeCell ref="C1:O2"/>
    <mergeCell ref="C3:C4"/>
    <mergeCell ref="D3:D4"/>
    <mergeCell ref="E3:E4"/>
    <mergeCell ref="F3:F4"/>
    <mergeCell ref="A3:A4"/>
    <mergeCell ref="B3:B4"/>
    <mergeCell ref="G3:G4"/>
    <mergeCell ref="O3:O4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5">
      <selection activeCell="Q27" sqref="Q27"/>
    </sheetView>
  </sheetViews>
  <sheetFormatPr defaultColWidth="8.75390625" defaultRowHeight="12.75"/>
  <cols>
    <col min="1" max="1" width="9.125" style="29" customWidth="1"/>
    <col min="2" max="2" width="11.625" style="445" customWidth="1"/>
    <col min="3" max="3" width="29.125" style="15" customWidth="1"/>
    <col min="4" max="4" width="26.875" style="15" bestFit="1" customWidth="1"/>
    <col min="5" max="5" width="10.625" style="15" bestFit="1" customWidth="1"/>
    <col min="6" max="6" width="8.375" style="15" bestFit="1" customWidth="1"/>
    <col min="7" max="7" width="25.00390625" style="15" bestFit="1" customWidth="1"/>
    <col min="8" max="8" width="41.375" style="15" bestFit="1" customWidth="1"/>
    <col min="9" max="12" width="5.625" style="15" bestFit="1" customWidth="1"/>
    <col min="13" max="13" width="11.125" style="30" customWidth="1"/>
    <col min="14" max="14" width="8.625" style="15" bestFit="1" customWidth="1"/>
    <col min="15" max="15" width="18.00390625" style="15" customWidth="1"/>
  </cols>
  <sheetData>
    <row r="1" spans="1:15" s="1" customFormat="1" ht="15" customHeight="1">
      <c r="A1" s="28"/>
      <c r="B1" s="443"/>
      <c r="C1" s="552" t="s">
        <v>4520</v>
      </c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</row>
    <row r="2" spans="1:15" s="1" customFormat="1" ht="105.75" customHeight="1" thickBot="1">
      <c r="A2" s="28"/>
      <c r="B2" s="44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</row>
    <row r="3" spans="1:15" s="2" customFormat="1" ht="12.75" customHeight="1">
      <c r="A3" s="546" t="s">
        <v>1627</v>
      </c>
      <c r="B3" s="516" t="s">
        <v>4516</v>
      </c>
      <c r="C3" s="542" t="s">
        <v>0</v>
      </c>
      <c r="D3" s="548" t="s">
        <v>1628</v>
      </c>
      <c r="E3" s="548" t="s">
        <v>1629</v>
      </c>
      <c r="F3" s="542" t="s">
        <v>9</v>
      </c>
      <c r="G3" s="542" t="s">
        <v>7</v>
      </c>
      <c r="H3" s="514" t="s">
        <v>3275</v>
      </c>
      <c r="I3" s="542" t="s">
        <v>2</v>
      </c>
      <c r="J3" s="542"/>
      <c r="K3" s="542"/>
      <c r="L3" s="542"/>
      <c r="M3" s="550" t="s">
        <v>1672</v>
      </c>
      <c r="N3" s="542" t="s">
        <v>6</v>
      </c>
      <c r="O3" s="544" t="s">
        <v>5</v>
      </c>
    </row>
    <row r="4" spans="1:15" s="2" customFormat="1" ht="21" customHeight="1" thickBot="1">
      <c r="A4" s="547"/>
      <c r="B4" s="517"/>
      <c r="C4" s="543"/>
      <c r="D4" s="543"/>
      <c r="E4" s="549"/>
      <c r="F4" s="543"/>
      <c r="G4" s="543"/>
      <c r="H4" s="515"/>
      <c r="I4" s="3">
        <v>1</v>
      </c>
      <c r="J4" s="3">
        <v>2</v>
      </c>
      <c r="K4" s="3">
        <v>3</v>
      </c>
      <c r="L4" s="3" t="s">
        <v>8</v>
      </c>
      <c r="M4" s="551"/>
      <c r="N4" s="543"/>
      <c r="O4" s="545"/>
    </row>
    <row r="5" spans="2:14" ht="15.75">
      <c r="B5" s="410"/>
      <c r="C5" s="526" t="s">
        <v>42</v>
      </c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</row>
    <row r="6" spans="1:15" ht="12.75">
      <c r="A6" s="29">
        <v>1</v>
      </c>
      <c r="B6" s="469">
        <v>36</v>
      </c>
      <c r="C6" s="17" t="s">
        <v>4247</v>
      </c>
      <c r="D6" s="17" t="s">
        <v>803</v>
      </c>
      <c r="E6" s="17" t="s">
        <v>804</v>
      </c>
      <c r="F6" s="17" t="str">
        <f>"0,9506"</f>
        <v>0,9506</v>
      </c>
      <c r="G6" s="17" t="s">
        <v>14</v>
      </c>
      <c r="H6" s="83" t="s">
        <v>1694</v>
      </c>
      <c r="I6" s="142" t="s">
        <v>127</v>
      </c>
      <c r="J6" s="138" t="s">
        <v>108</v>
      </c>
      <c r="K6" s="101"/>
      <c r="L6" s="36"/>
      <c r="M6" s="44">
        <v>190</v>
      </c>
      <c r="N6" s="35" t="str">
        <f>"180,6140"</f>
        <v>180,6140</v>
      </c>
      <c r="O6" s="17" t="s">
        <v>51</v>
      </c>
    </row>
    <row r="7" spans="1:15" ht="12.75">
      <c r="A7" s="29">
        <v>2</v>
      </c>
      <c r="B7" s="469"/>
      <c r="C7" s="18" t="s">
        <v>4248</v>
      </c>
      <c r="D7" s="18" t="s">
        <v>806</v>
      </c>
      <c r="E7" s="18" t="s">
        <v>807</v>
      </c>
      <c r="F7" s="18" t="str">
        <f>"0,9587"</f>
        <v>0,9587</v>
      </c>
      <c r="G7" s="18" t="s">
        <v>31</v>
      </c>
      <c r="H7" s="92" t="s">
        <v>2041</v>
      </c>
      <c r="I7" s="132" t="s">
        <v>132</v>
      </c>
      <c r="J7" s="130" t="s">
        <v>64</v>
      </c>
      <c r="K7" s="103" t="s">
        <v>183</v>
      </c>
      <c r="L7" s="39"/>
      <c r="M7" s="40">
        <v>160</v>
      </c>
      <c r="N7" s="38" t="str">
        <f>"153,3920"</f>
        <v>153,3920</v>
      </c>
      <c r="O7" s="18" t="s">
        <v>2257</v>
      </c>
    </row>
    <row r="8" spans="1:15" ht="12.75">
      <c r="A8" s="29">
        <v>3</v>
      </c>
      <c r="B8" s="469"/>
      <c r="C8" s="19" t="s">
        <v>4249</v>
      </c>
      <c r="D8" s="19" t="s">
        <v>809</v>
      </c>
      <c r="E8" s="19" t="s">
        <v>810</v>
      </c>
      <c r="F8" s="19" t="str">
        <f>"0,9563"</f>
        <v>0,9563</v>
      </c>
      <c r="G8" s="19" t="s">
        <v>31</v>
      </c>
      <c r="H8" s="94" t="s">
        <v>168</v>
      </c>
      <c r="I8" s="133" t="s">
        <v>480</v>
      </c>
      <c r="J8" s="129" t="s">
        <v>811</v>
      </c>
      <c r="K8" s="124" t="s">
        <v>63</v>
      </c>
      <c r="L8" s="42"/>
      <c r="M8" s="43">
        <v>155</v>
      </c>
      <c r="N8" s="41" t="str">
        <f>"148,2265"</f>
        <v>148,2265</v>
      </c>
      <c r="O8" s="19" t="s">
        <v>51</v>
      </c>
    </row>
    <row r="9" ht="12.75">
      <c r="B9" s="470"/>
    </row>
    <row r="10" spans="2:14" ht="15.75">
      <c r="B10" s="469"/>
      <c r="C10" s="541" t="s">
        <v>59</v>
      </c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</row>
    <row r="11" spans="1:15" ht="12.75">
      <c r="A11" s="29">
        <v>1</v>
      </c>
      <c r="B11" s="469"/>
      <c r="C11" s="20" t="s">
        <v>4250</v>
      </c>
      <c r="D11" s="20" t="s">
        <v>812</v>
      </c>
      <c r="E11" s="20" t="s">
        <v>813</v>
      </c>
      <c r="F11" s="20" t="str">
        <f>"0,8866"</f>
        <v>0,8866</v>
      </c>
      <c r="G11" s="20" t="s">
        <v>31</v>
      </c>
      <c r="H11" s="20" t="s">
        <v>1643</v>
      </c>
      <c r="I11" s="135" t="s">
        <v>132</v>
      </c>
      <c r="J11" s="136" t="s">
        <v>63</v>
      </c>
      <c r="K11" s="137" t="s">
        <v>63</v>
      </c>
      <c r="L11" s="45" t="s">
        <v>64</v>
      </c>
      <c r="M11" s="34">
        <v>155</v>
      </c>
      <c r="N11" s="33" t="str">
        <f>"137,4230"</f>
        <v>137,4230</v>
      </c>
      <c r="O11" s="20" t="s">
        <v>2039</v>
      </c>
    </row>
    <row r="12" ht="12.75">
      <c r="B12" s="470"/>
    </row>
    <row r="13" spans="2:14" ht="15.75">
      <c r="B13" s="469"/>
      <c r="C13" s="541" t="s">
        <v>116</v>
      </c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41"/>
    </row>
    <row r="14" spans="1:15" ht="12.75">
      <c r="A14" s="29">
        <v>1</v>
      </c>
      <c r="B14" s="469">
        <v>30</v>
      </c>
      <c r="C14" s="17" t="s">
        <v>4251</v>
      </c>
      <c r="D14" s="17" t="s">
        <v>814</v>
      </c>
      <c r="E14" s="17" t="s">
        <v>588</v>
      </c>
      <c r="F14" s="17" t="str">
        <f>"0,6759"</f>
        <v>0,6759</v>
      </c>
      <c r="G14" s="17" t="s">
        <v>14</v>
      </c>
      <c r="H14" s="17" t="s">
        <v>815</v>
      </c>
      <c r="I14" s="46" t="s">
        <v>238</v>
      </c>
      <c r="J14" s="128" t="s">
        <v>238</v>
      </c>
      <c r="K14" s="128" t="s">
        <v>317</v>
      </c>
      <c r="L14" s="46" t="s">
        <v>368</v>
      </c>
      <c r="M14" s="44">
        <v>240</v>
      </c>
      <c r="N14" s="35" t="str">
        <f>"162,2160"</f>
        <v>162,2160</v>
      </c>
      <c r="O14" s="17" t="s">
        <v>2044</v>
      </c>
    </row>
    <row r="15" spans="1:15" ht="12.75">
      <c r="A15" s="29">
        <v>2</v>
      </c>
      <c r="B15" s="469">
        <v>21</v>
      </c>
      <c r="C15" s="19" t="s">
        <v>4252</v>
      </c>
      <c r="D15" s="19" t="s">
        <v>2102</v>
      </c>
      <c r="E15" s="19" t="s">
        <v>816</v>
      </c>
      <c r="F15" s="19" t="str">
        <f>"0,6749"</f>
        <v>0,6749</v>
      </c>
      <c r="G15" s="19" t="s">
        <v>125</v>
      </c>
      <c r="H15" s="19" t="s">
        <v>817</v>
      </c>
      <c r="I15" s="129" t="s">
        <v>190</v>
      </c>
      <c r="J15" s="129" t="s">
        <v>818</v>
      </c>
      <c r="K15" s="48" t="s">
        <v>237</v>
      </c>
      <c r="L15" s="42"/>
      <c r="M15" s="43">
        <v>212.5</v>
      </c>
      <c r="N15" s="41" t="str">
        <f>"143,4162"</f>
        <v>143,4162</v>
      </c>
      <c r="O15" s="19" t="s">
        <v>51</v>
      </c>
    </row>
    <row r="16" ht="12.75">
      <c r="B16" s="470"/>
    </row>
    <row r="17" spans="2:14" ht="15.75">
      <c r="B17" s="469"/>
      <c r="C17" s="541" t="s">
        <v>59</v>
      </c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</row>
    <row r="18" spans="1:15" ht="12.75">
      <c r="A18" s="29">
        <v>1</v>
      </c>
      <c r="B18" s="469">
        <v>24</v>
      </c>
      <c r="C18" s="83" t="s">
        <v>4718</v>
      </c>
      <c r="D18" s="17" t="s">
        <v>3255</v>
      </c>
      <c r="E18" s="17" t="s">
        <v>638</v>
      </c>
      <c r="F18" s="17" t="str">
        <f>"0,6447"</f>
        <v>0,6447</v>
      </c>
      <c r="G18" s="17" t="s">
        <v>22</v>
      </c>
      <c r="H18" s="17" t="s">
        <v>1643</v>
      </c>
      <c r="I18" s="147" t="s">
        <v>108</v>
      </c>
      <c r="J18" s="138" t="s">
        <v>190</v>
      </c>
      <c r="K18" s="85" t="s">
        <v>192</v>
      </c>
      <c r="L18" s="36"/>
      <c r="M18" s="151">
        <v>200</v>
      </c>
      <c r="N18" s="35" t="s">
        <v>3256</v>
      </c>
      <c r="O18" s="88" t="s">
        <v>51</v>
      </c>
    </row>
    <row r="19" spans="2:15" ht="12.75">
      <c r="B19" s="469"/>
      <c r="C19" s="92" t="s">
        <v>4719</v>
      </c>
      <c r="D19" s="18" t="s">
        <v>819</v>
      </c>
      <c r="E19" s="15" t="s">
        <v>813</v>
      </c>
      <c r="F19" s="18" t="s">
        <v>3174</v>
      </c>
      <c r="G19" s="15" t="s">
        <v>22</v>
      </c>
      <c r="H19" s="18" t="s">
        <v>23</v>
      </c>
      <c r="I19" s="495" t="s">
        <v>237</v>
      </c>
      <c r="J19" s="496" t="s">
        <v>238</v>
      </c>
      <c r="K19" s="497" t="s">
        <v>820</v>
      </c>
      <c r="L19" s="39"/>
      <c r="M19" s="53">
        <v>230</v>
      </c>
      <c r="N19" s="38" t="s">
        <v>4720</v>
      </c>
      <c r="O19" s="93" t="s">
        <v>4721</v>
      </c>
    </row>
    <row r="20" spans="1:15" ht="12.75">
      <c r="A20" s="29">
        <v>2</v>
      </c>
      <c r="B20" s="469"/>
      <c r="C20" s="18" t="s">
        <v>4254</v>
      </c>
      <c r="D20" s="18" t="s">
        <v>823</v>
      </c>
      <c r="E20" s="79" t="s">
        <v>824</v>
      </c>
      <c r="F20" s="18" t="str">
        <f>"0,6406"</f>
        <v>0,6406</v>
      </c>
      <c r="G20" s="18" t="s">
        <v>31</v>
      </c>
      <c r="H20" s="18" t="s">
        <v>1737</v>
      </c>
      <c r="I20" s="240" t="s">
        <v>245</v>
      </c>
      <c r="J20" s="47" t="s">
        <v>820</v>
      </c>
      <c r="K20" s="80" t="s">
        <v>820</v>
      </c>
      <c r="L20" s="39"/>
      <c r="M20" s="150">
        <v>225</v>
      </c>
      <c r="N20" s="38" t="str">
        <f>"144,1350"</f>
        <v>144,1350</v>
      </c>
      <c r="O20" s="93" t="s">
        <v>2045</v>
      </c>
    </row>
    <row r="21" spans="1:15" ht="12.75">
      <c r="A21" s="29">
        <v>2</v>
      </c>
      <c r="B21" s="469">
        <v>21</v>
      </c>
      <c r="C21" s="18" t="s">
        <v>4255</v>
      </c>
      <c r="D21" s="18" t="s">
        <v>825</v>
      </c>
      <c r="E21" s="79" t="s">
        <v>824</v>
      </c>
      <c r="F21" s="18" t="str">
        <f>"0,6406"</f>
        <v>0,6406</v>
      </c>
      <c r="G21" s="18" t="s">
        <v>54</v>
      </c>
      <c r="H21" s="18" t="s">
        <v>1641</v>
      </c>
      <c r="I21" s="240" t="s">
        <v>245</v>
      </c>
      <c r="J21" s="47" t="s">
        <v>246</v>
      </c>
      <c r="K21" s="80" t="s">
        <v>826</v>
      </c>
      <c r="L21" s="39"/>
      <c r="M21" s="150">
        <v>225</v>
      </c>
      <c r="N21" s="38" t="str">
        <f>"144,1350"</f>
        <v>144,1350</v>
      </c>
      <c r="O21" s="93" t="s">
        <v>2046</v>
      </c>
    </row>
    <row r="22" spans="1:15" ht="12.75">
      <c r="A22" s="29">
        <v>4</v>
      </c>
      <c r="B22" s="469"/>
      <c r="C22" s="18" t="s">
        <v>4256</v>
      </c>
      <c r="D22" s="18" t="s">
        <v>156</v>
      </c>
      <c r="E22" s="79" t="s">
        <v>157</v>
      </c>
      <c r="F22" s="18" t="str">
        <f>"0,6410"</f>
        <v>0,6410</v>
      </c>
      <c r="G22" s="18" t="s">
        <v>31</v>
      </c>
      <c r="H22" s="18" t="s">
        <v>1675</v>
      </c>
      <c r="I22" s="80" t="s">
        <v>190</v>
      </c>
      <c r="J22" s="140" t="s">
        <v>190</v>
      </c>
      <c r="K22" s="80" t="s">
        <v>191</v>
      </c>
      <c r="L22" s="39"/>
      <c r="M22" s="150">
        <v>200</v>
      </c>
      <c r="N22" s="38" t="str">
        <f>"128,2000"</f>
        <v>128,2000</v>
      </c>
      <c r="O22" s="93" t="s">
        <v>158</v>
      </c>
    </row>
    <row r="23" spans="1:15" ht="12.75">
      <c r="A23" s="29">
        <v>1</v>
      </c>
      <c r="B23" s="469"/>
      <c r="C23" s="19" t="s">
        <v>4257</v>
      </c>
      <c r="D23" s="19" t="s">
        <v>828</v>
      </c>
      <c r="E23" s="98" t="s">
        <v>642</v>
      </c>
      <c r="F23" s="19" t="str">
        <f>"0,6395"</f>
        <v>0,6395</v>
      </c>
      <c r="G23" s="19" t="s">
        <v>31</v>
      </c>
      <c r="H23" s="19" t="s">
        <v>829</v>
      </c>
      <c r="I23" s="148" t="s">
        <v>312</v>
      </c>
      <c r="J23" s="139" t="s">
        <v>246</v>
      </c>
      <c r="K23" s="153" t="s">
        <v>830</v>
      </c>
      <c r="L23" s="42"/>
      <c r="M23" s="152">
        <v>232.5</v>
      </c>
      <c r="N23" s="41" t="str">
        <f>"149,4272"</f>
        <v>149,4272</v>
      </c>
      <c r="O23" s="95" t="s">
        <v>2047</v>
      </c>
    </row>
    <row r="24" ht="12.75">
      <c r="B24" s="470"/>
    </row>
    <row r="25" spans="2:14" ht="15.75">
      <c r="B25" s="469"/>
      <c r="C25" s="541" t="s">
        <v>164</v>
      </c>
      <c r="D25" s="541"/>
      <c r="E25" s="541"/>
      <c r="F25" s="541"/>
      <c r="G25" s="541"/>
      <c r="H25" s="541"/>
      <c r="I25" s="541"/>
      <c r="J25" s="541"/>
      <c r="K25" s="541"/>
      <c r="L25" s="541"/>
      <c r="M25" s="541"/>
      <c r="N25" s="541"/>
    </row>
    <row r="26" spans="1:15" ht="12.75">
      <c r="A26" s="29">
        <v>1</v>
      </c>
      <c r="B26" s="469">
        <v>36</v>
      </c>
      <c r="C26" s="17" t="s">
        <v>4258</v>
      </c>
      <c r="D26" s="17" t="s">
        <v>832</v>
      </c>
      <c r="E26" s="17" t="s">
        <v>833</v>
      </c>
      <c r="F26" s="17" t="str">
        <f>"0,6096"</f>
        <v>0,6096</v>
      </c>
      <c r="G26" s="17" t="s">
        <v>14</v>
      </c>
      <c r="H26" s="17" t="s">
        <v>168</v>
      </c>
      <c r="I26" s="46" t="s">
        <v>834</v>
      </c>
      <c r="J26" s="128" t="s">
        <v>834</v>
      </c>
      <c r="K26" s="128" t="s">
        <v>835</v>
      </c>
      <c r="L26" s="46" t="s">
        <v>836</v>
      </c>
      <c r="M26" s="44">
        <v>315</v>
      </c>
      <c r="N26" s="35" t="str">
        <f>"192,0240"</f>
        <v>192,0240</v>
      </c>
      <c r="O26" s="17" t="s">
        <v>51</v>
      </c>
    </row>
    <row r="27" spans="1:15" ht="12.75">
      <c r="A27" s="29">
        <v>2</v>
      </c>
      <c r="B27" s="469">
        <v>21</v>
      </c>
      <c r="C27" s="18" t="s">
        <v>4259</v>
      </c>
      <c r="D27" s="18" t="s">
        <v>212</v>
      </c>
      <c r="E27" s="18" t="s">
        <v>837</v>
      </c>
      <c r="F27" s="18" t="str">
        <f>"0,6126"</f>
        <v>0,6126</v>
      </c>
      <c r="G27" s="18" t="s">
        <v>54</v>
      </c>
      <c r="H27" s="18" t="s">
        <v>214</v>
      </c>
      <c r="I27" s="130" t="s">
        <v>245</v>
      </c>
      <c r="J27" s="130" t="s">
        <v>239</v>
      </c>
      <c r="K27" s="47" t="s">
        <v>317</v>
      </c>
      <c r="L27" s="39"/>
      <c r="M27" s="40">
        <v>235</v>
      </c>
      <c r="N27" s="38" t="str">
        <f>"143,9610"</f>
        <v>143,9610</v>
      </c>
      <c r="O27" s="18" t="s">
        <v>51</v>
      </c>
    </row>
    <row r="28" spans="2:15" ht="12.75">
      <c r="B28" s="469"/>
      <c r="C28" s="18" t="s">
        <v>838</v>
      </c>
      <c r="D28" s="18" t="s">
        <v>839</v>
      </c>
      <c r="E28" s="18" t="s">
        <v>200</v>
      </c>
      <c r="F28" s="18" t="str">
        <f>"0,6136"</f>
        <v>0,6136</v>
      </c>
      <c r="G28" s="18" t="s">
        <v>125</v>
      </c>
      <c r="H28" s="18" t="s">
        <v>840</v>
      </c>
      <c r="I28" s="47" t="s">
        <v>191</v>
      </c>
      <c r="J28" s="47" t="s">
        <v>191</v>
      </c>
      <c r="K28" s="47" t="s">
        <v>191</v>
      </c>
      <c r="L28" s="39"/>
      <c r="M28" s="52">
        <v>0</v>
      </c>
      <c r="N28" s="38" t="s">
        <v>1639</v>
      </c>
      <c r="O28" s="18" t="s">
        <v>51</v>
      </c>
    </row>
    <row r="29" spans="2:15" ht="12.75">
      <c r="B29" s="469"/>
      <c r="C29" s="18" t="s">
        <v>841</v>
      </c>
      <c r="D29" s="18" t="s">
        <v>842</v>
      </c>
      <c r="E29" s="18" t="s">
        <v>708</v>
      </c>
      <c r="F29" s="18" t="str">
        <f>"0,6098"</f>
        <v>0,6098</v>
      </c>
      <c r="G29" s="18" t="s">
        <v>31</v>
      </c>
      <c r="H29" s="18" t="s">
        <v>105</v>
      </c>
      <c r="I29" s="47" t="s">
        <v>239</v>
      </c>
      <c r="J29" s="47" t="s">
        <v>239</v>
      </c>
      <c r="K29" s="39"/>
      <c r="L29" s="39"/>
      <c r="M29" s="52">
        <v>0</v>
      </c>
      <c r="N29" s="38" t="s">
        <v>1639</v>
      </c>
      <c r="O29" s="18" t="s">
        <v>1842</v>
      </c>
    </row>
    <row r="30" spans="1:15" ht="12.75">
      <c r="A30" s="29">
        <v>1</v>
      </c>
      <c r="B30" s="469">
        <v>24</v>
      </c>
      <c r="C30" s="19" t="s">
        <v>4259</v>
      </c>
      <c r="D30" s="19" t="s">
        <v>219</v>
      </c>
      <c r="E30" s="19" t="s">
        <v>837</v>
      </c>
      <c r="F30" s="19" t="str">
        <f>"0,6126"</f>
        <v>0,6126</v>
      </c>
      <c r="G30" s="19" t="s">
        <v>54</v>
      </c>
      <c r="H30" s="19" t="s">
        <v>214</v>
      </c>
      <c r="I30" s="129" t="s">
        <v>245</v>
      </c>
      <c r="J30" s="129" t="s">
        <v>239</v>
      </c>
      <c r="K30" s="48" t="s">
        <v>317</v>
      </c>
      <c r="L30" s="42"/>
      <c r="M30" s="43">
        <v>235</v>
      </c>
      <c r="N30" s="41" t="str">
        <f>"145,9765"</f>
        <v>145,9765</v>
      </c>
      <c r="O30" s="19" t="s">
        <v>51</v>
      </c>
    </row>
    <row r="31" ht="12.75">
      <c r="B31" s="470"/>
    </row>
    <row r="32" spans="2:14" ht="15.75">
      <c r="B32" s="469"/>
      <c r="C32" s="541" t="s">
        <v>227</v>
      </c>
      <c r="D32" s="541"/>
      <c r="E32" s="541"/>
      <c r="F32" s="541"/>
      <c r="G32" s="541"/>
      <c r="H32" s="541"/>
      <c r="I32" s="541"/>
      <c r="J32" s="541"/>
      <c r="K32" s="541"/>
      <c r="L32" s="541"/>
      <c r="M32" s="541"/>
      <c r="N32" s="541"/>
    </row>
    <row r="33" spans="1:15" ht="12.75">
      <c r="A33" s="29">
        <v>1</v>
      </c>
      <c r="B33" s="469">
        <v>30</v>
      </c>
      <c r="C33" s="17" t="s">
        <v>4260</v>
      </c>
      <c r="D33" s="17" t="s">
        <v>843</v>
      </c>
      <c r="E33" s="17" t="s">
        <v>844</v>
      </c>
      <c r="F33" s="17" t="str">
        <f>"0,6048"</f>
        <v>0,6048</v>
      </c>
      <c r="G33" s="17" t="s">
        <v>14</v>
      </c>
      <c r="H33" s="17" t="s">
        <v>2043</v>
      </c>
      <c r="I33" s="138" t="s">
        <v>845</v>
      </c>
      <c r="J33" s="138" t="s">
        <v>846</v>
      </c>
      <c r="K33" s="138" t="s">
        <v>847</v>
      </c>
      <c r="L33" s="36"/>
      <c r="M33" s="44">
        <v>285</v>
      </c>
      <c r="N33" s="35" t="str">
        <f>"172,3680"</f>
        <v>172,3680</v>
      </c>
      <c r="O33" s="17" t="s">
        <v>51</v>
      </c>
    </row>
    <row r="34" spans="1:15" ht="12.75">
      <c r="A34" s="29">
        <v>2</v>
      </c>
      <c r="B34" s="469"/>
      <c r="C34" s="19" t="s">
        <v>4261</v>
      </c>
      <c r="D34" s="19" t="s">
        <v>848</v>
      </c>
      <c r="E34" s="19" t="s">
        <v>849</v>
      </c>
      <c r="F34" s="19" t="str">
        <f>"0,5935"</f>
        <v>0,5935</v>
      </c>
      <c r="G34" s="19" t="s">
        <v>31</v>
      </c>
      <c r="H34" s="19" t="s">
        <v>201</v>
      </c>
      <c r="I34" s="139" t="s">
        <v>845</v>
      </c>
      <c r="J34" s="139" t="s">
        <v>850</v>
      </c>
      <c r="K34" s="48" t="s">
        <v>851</v>
      </c>
      <c r="L34" s="42"/>
      <c r="M34" s="43">
        <v>267.5</v>
      </c>
      <c r="N34" s="41" t="str">
        <f>"158,7613"</f>
        <v>158,7613</v>
      </c>
      <c r="O34" s="19" t="s">
        <v>51</v>
      </c>
    </row>
    <row r="35" ht="12.75">
      <c r="B35" s="470"/>
    </row>
    <row r="36" spans="2:14" ht="15.75">
      <c r="B36" s="469"/>
      <c r="C36" s="541" t="s">
        <v>355</v>
      </c>
      <c r="D36" s="541"/>
      <c r="E36" s="541"/>
      <c r="F36" s="541"/>
      <c r="G36" s="541"/>
      <c r="H36" s="541"/>
      <c r="I36" s="541"/>
      <c r="J36" s="541"/>
      <c r="K36" s="541"/>
      <c r="L36" s="541"/>
      <c r="M36" s="541"/>
      <c r="N36" s="541"/>
    </row>
    <row r="37" spans="1:15" ht="12.75">
      <c r="A37" s="29">
        <v>1</v>
      </c>
      <c r="B37" s="469"/>
      <c r="C37" s="17" t="s">
        <v>4262</v>
      </c>
      <c r="D37" s="17" t="s">
        <v>853</v>
      </c>
      <c r="E37" s="17" t="s">
        <v>854</v>
      </c>
      <c r="F37" s="17" t="str">
        <f>"0,5600"</f>
        <v>0,5600</v>
      </c>
      <c r="G37" s="17" t="s">
        <v>31</v>
      </c>
      <c r="H37" s="17" t="s">
        <v>2249</v>
      </c>
      <c r="I37" s="138" t="s">
        <v>835</v>
      </c>
      <c r="J37" s="46" t="s">
        <v>855</v>
      </c>
      <c r="K37" s="138" t="s">
        <v>855</v>
      </c>
      <c r="L37" s="46" t="s">
        <v>856</v>
      </c>
      <c r="M37" s="44">
        <v>325</v>
      </c>
      <c r="N37" s="35" t="str">
        <f>"182,0000"</f>
        <v>182,0000</v>
      </c>
      <c r="O37" s="17" t="s">
        <v>1837</v>
      </c>
    </row>
    <row r="38" spans="1:15" ht="12.75">
      <c r="A38" s="29">
        <v>2</v>
      </c>
      <c r="B38" s="469">
        <v>27</v>
      </c>
      <c r="C38" s="18" t="s">
        <v>4263</v>
      </c>
      <c r="D38" s="18" t="s">
        <v>858</v>
      </c>
      <c r="E38" s="18" t="s">
        <v>360</v>
      </c>
      <c r="F38" s="18" t="str">
        <f>"0,5684"</f>
        <v>0,5684</v>
      </c>
      <c r="G38" s="18" t="s">
        <v>125</v>
      </c>
      <c r="H38" s="18" t="s">
        <v>859</v>
      </c>
      <c r="I38" s="140" t="s">
        <v>860</v>
      </c>
      <c r="J38" s="47" t="s">
        <v>861</v>
      </c>
      <c r="K38" s="140" t="s">
        <v>861</v>
      </c>
      <c r="L38" s="39"/>
      <c r="M38" s="40">
        <v>312.5</v>
      </c>
      <c r="N38" s="38" t="str">
        <f>"177,6250"</f>
        <v>177,6250</v>
      </c>
      <c r="O38" s="18" t="s">
        <v>51</v>
      </c>
    </row>
    <row r="39" spans="1:15" ht="12.75">
      <c r="A39" s="29">
        <v>3</v>
      </c>
      <c r="B39" s="469">
        <v>26</v>
      </c>
      <c r="C39" s="18" t="s">
        <v>3841</v>
      </c>
      <c r="D39" s="18" t="s">
        <v>863</v>
      </c>
      <c r="E39" s="18" t="s">
        <v>864</v>
      </c>
      <c r="F39" s="18" t="str">
        <f>"0,5626"</f>
        <v>0,5626</v>
      </c>
      <c r="G39" s="18" t="s">
        <v>125</v>
      </c>
      <c r="H39" s="18" t="s">
        <v>1642</v>
      </c>
      <c r="I39" s="140" t="s">
        <v>834</v>
      </c>
      <c r="J39" s="47" t="s">
        <v>835</v>
      </c>
      <c r="K39" s="39"/>
      <c r="L39" s="39"/>
      <c r="M39" s="40">
        <v>305</v>
      </c>
      <c r="N39" s="38" t="str">
        <f>"171,5930"</f>
        <v>171,5930</v>
      </c>
      <c r="O39" s="18" t="s">
        <v>51</v>
      </c>
    </row>
    <row r="40" spans="1:15" ht="12.75">
      <c r="A40" s="29">
        <v>1</v>
      </c>
      <c r="B40" s="469">
        <v>30</v>
      </c>
      <c r="C40" s="18" t="s">
        <v>4263</v>
      </c>
      <c r="D40" s="18" t="s">
        <v>865</v>
      </c>
      <c r="E40" s="18" t="s">
        <v>360</v>
      </c>
      <c r="F40" s="18" t="str">
        <f>"0,5684"</f>
        <v>0,5684</v>
      </c>
      <c r="G40" s="18" t="s">
        <v>125</v>
      </c>
      <c r="H40" s="18" t="s">
        <v>859</v>
      </c>
      <c r="I40" s="140" t="s">
        <v>860</v>
      </c>
      <c r="J40" s="47" t="s">
        <v>861</v>
      </c>
      <c r="K40" s="140" t="s">
        <v>861</v>
      </c>
      <c r="L40" s="39"/>
      <c r="M40" s="40">
        <v>312.5</v>
      </c>
      <c r="N40" s="38" t="str">
        <f>"180,1118"</f>
        <v>180,1118</v>
      </c>
      <c r="O40" s="18" t="s">
        <v>51</v>
      </c>
    </row>
    <row r="41" spans="1:15" ht="12.75">
      <c r="A41" s="29">
        <v>1</v>
      </c>
      <c r="B41" s="469">
        <v>30</v>
      </c>
      <c r="C41" s="19" t="s">
        <v>3841</v>
      </c>
      <c r="D41" s="19" t="s">
        <v>866</v>
      </c>
      <c r="E41" s="19" t="s">
        <v>864</v>
      </c>
      <c r="F41" s="19" t="str">
        <f>"0,5626"</f>
        <v>0,5626</v>
      </c>
      <c r="G41" s="19" t="s">
        <v>125</v>
      </c>
      <c r="H41" s="19" t="s">
        <v>1642</v>
      </c>
      <c r="I41" s="139" t="s">
        <v>834</v>
      </c>
      <c r="J41" s="48" t="s">
        <v>835</v>
      </c>
      <c r="K41" s="42"/>
      <c r="L41" s="42"/>
      <c r="M41" s="43">
        <v>305</v>
      </c>
      <c r="N41" s="41" t="str">
        <f>"188,0659"</f>
        <v>188,0659</v>
      </c>
      <c r="O41" s="19" t="s">
        <v>51</v>
      </c>
    </row>
    <row r="42" ht="12.75">
      <c r="B42" s="470"/>
    </row>
    <row r="43" spans="2:14" ht="15.75">
      <c r="B43" s="469"/>
      <c r="C43" s="541" t="s">
        <v>364</v>
      </c>
      <c r="D43" s="541"/>
      <c r="E43" s="541"/>
      <c r="F43" s="541"/>
      <c r="G43" s="541"/>
      <c r="H43" s="541"/>
      <c r="I43" s="541"/>
      <c r="J43" s="541"/>
      <c r="K43" s="541"/>
      <c r="L43" s="541"/>
      <c r="M43" s="541"/>
      <c r="N43" s="541"/>
    </row>
    <row r="44" spans="1:15" ht="12.75">
      <c r="A44" s="29">
        <v>1</v>
      </c>
      <c r="B44" s="469"/>
      <c r="C44" s="17" t="s">
        <v>4264</v>
      </c>
      <c r="D44" s="17" t="s">
        <v>867</v>
      </c>
      <c r="E44" s="17" t="s">
        <v>868</v>
      </c>
      <c r="F44" s="83" t="str">
        <f>"0,5468"</f>
        <v>0,5468</v>
      </c>
      <c r="G44" s="83" t="s">
        <v>31</v>
      </c>
      <c r="H44" s="88" t="s">
        <v>2042</v>
      </c>
      <c r="I44" s="141" t="s">
        <v>860</v>
      </c>
      <c r="J44" s="138" t="s">
        <v>869</v>
      </c>
      <c r="K44" s="138" t="s">
        <v>835</v>
      </c>
      <c r="L44" s="36"/>
      <c r="M44" s="44">
        <v>315</v>
      </c>
      <c r="N44" s="35" t="str">
        <f>"172,2420"</f>
        <v>172,2420</v>
      </c>
      <c r="O44" s="17" t="s">
        <v>51</v>
      </c>
    </row>
    <row r="45" spans="2:15" ht="12.75">
      <c r="B45" s="469"/>
      <c r="C45" s="18" t="s">
        <v>365</v>
      </c>
      <c r="D45" s="18" t="s">
        <v>366</v>
      </c>
      <c r="E45" s="18" t="s">
        <v>367</v>
      </c>
      <c r="F45" s="92" t="str">
        <f>"0,5339"</f>
        <v>0,5339</v>
      </c>
      <c r="G45" s="92" t="s">
        <v>1536</v>
      </c>
      <c r="H45" s="93" t="s">
        <v>2140</v>
      </c>
      <c r="I45" s="103" t="s">
        <v>836</v>
      </c>
      <c r="J45" s="47" t="s">
        <v>836</v>
      </c>
      <c r="K45" s="47" t="s">
        <v>836</v>
      </c>
      <c r="L45" s="39"/>
      <c r="M45" s="52">
        <v>0</v>
      </c>
      <c r="N45" s="38" t="s">
        <v>1639</v>
      </c>
      <c r="O45" s="18" t="s">
        <v>51</v>
      </c>
    </row>
    <row r="46" spans="2:15" ht="12.75">
      <c r="B46" s="469"/>
      <c r="C46" s="19" t="s">
        <v>365</v>
      </c>
      <c r="D46" s="19" t="s">
        <v>369</v>
      </c>
      <c r="E46" s="19" t="s">
        <v>367</v>
      </c>
      <c r="F46" s="94" t="str">
        <f>"0,5339"</f>
        <v>0,5339</v>
      </c>
      <c r="G46" s="94" t="s">
        <v>1536</v>
      </c>
      <c r="H46" s="95" t="s">
        <v>2140</v>
      </c>
      <c r="I46" s="112" t="s">
        <v>836</v>
      </c>
      <c r="J46" s="48" t="s">
        <v>836</v>
      </c>
      <c r="K46" s="48" t="s">
        <v>836</v>
      </c>
      <c r="L46" s="42"/>
      <c r="M46" s="51">
        <v>0</v>
      </c>
      <c r="N46" s="41" t="s">
        <v>1639</v>
      </c>
      <c r="O46" s="19" t="s">
        <v>51</v>
      </c>
    </row>
    <row r="48" spans="3:4" ht="18">
      <c r="C48" s="16" t="s">
        <v>370</v>
      </c>
      <c r="D48" s="16"/>
    </row>
    <row r="49" spans="3:4" ht="15.75">
      <c r="C49" s="22" t="s">
        <v>371</v>
      </c>
      <c r="D49" s="22"/>
    </row>
    <row r="50" spans="3:4" ht="13.5">
      <c r="C50" s="24"/>
      <c r="D50" s="25" t="s">
        <v>2102</v>
      </c>
    </row>
    <row r="51" spans="3:7" ht="13.5">
      <c r="C51" s="26" t="s">
        <v>373</v>
      </c>
      <c r="D51" s="26" t="s">
        <v>374</v>
      </c>
      <c r="E51" s="26" t="s">
        <v>375</v>
      </c>
      <c r="F51" s="26" t="s">
        <v>376</v>
      </c>
      <c r="G51" s="26" t="s">
        <v>377</v>
      </c>
    </row>
    <row r="52" spans="1:7" ht="12.75">
      <c r="A52" s="29">
        <v>1</v>
      </c>
      <c r="C52" s="90" t="s">
        <v>802</v>
      </c>
      <c r="D52" s="49" t="s">
        <v>372</v>
      </c>
      <c r="E52" s="49" t="s">
        <v>383</v>
      </c>
      <c r="F52" s="49" t="s">
        <v>108</v>
      </c>
      <c r="G52" s="50" t="s">
        <v>870</v>
      </c>
    </row>
    <row r="53" spans="1:7" ht="12.75">
      <c r="A53" s="29">
        <v>2</v>
      </c>
      <c r="C53" s="90" t="s">
        <v>805</v>
      </c>
      <c r="D53" s="49" t="s">
        <v>372</v>
      </c>
      <c r="E53" s="49" t="s">
        <v>383</v>
      </c>
      <c r="F53" s="49" t="s">
        <v>64</v>
      </c>
      <c r="G53" s="50" t="s">
        <v>871</v>
      </c>
    </row>
    <row r="54" spans="1:7" ht="12.75">
      <c r="A54" s="29">
        <v>3</v>
      </c>
      <c r="C54" s="90" t="s">
        <v>808</v>
      </c>
      <c r="D54" s="49" t="s">
        <v>372</v>
      </c>
      <c r="E54" s="49" t="s">
        <v>383</v>
      </c>
      <c r="F54" s="49" t="s">
        <v>63</v>
      </c>
      <c r="G54" s="50" t="s">
        <v>872</v>
      </c>
    </row>
    <row r="56" spans="3:4" ht="15.75">
      <c r="C56" s="22" t="s">
        <v>387</v>
      </c>
      <c r="D56" s="22"/>
    </row>
    <row r="57" spans="3:4" ht="13.5">
      <c r="C57" s="24"/>
      <c r="D57" s="25" t="s">
        <v>2102</v>
      </c>
    </row>
    <row r="58" spans="3:7" ht="13.5">
      <c r="C58" s="26" t="s">
        <v>373</v>
      </c>
      <c r="D58" s="26" t="s">
        <v>374</v>
      </c>
      <c r="E58" s="26" t="s">
        <v>375</v>
      </c>
      <c r="F58" s="26" t="s">
        <v>376</v>
      </c>
      <c r="G58" s="26" t="s">
        <v>377</v>
      </c>
    </row>
    <row r="59" spans="1:7" ht="12.75">
      <c r="A59" s="29">
        <v>1</v>
      </c>
      <c r="C59" s="90" t="s">
        <v>831</v>
      </c>
      <c r="D59" s="49" t="s">
        <v>372</v>
      </c>
      <c r="E59" s="49" t="s">
        <v>397</v>
      </c>
      <c r="F59" s="49" t="s">
        <v>835</v>
      </c>
      <c r="G59" s="50" t="s">
        <v>873</v>
      </c>
    </row>
    <row r="60" spans="1:7" ht="12.75">
      <c r="A60" s="29">
        <v>2</v>
      </c>
      <c r="C60" s="90" t="s">
        <v>852</v>
      </c>
      <c r="D60" s="49" t="s">
        <v>372</v>
      </c>
      <c r="E60" s="49" t="s">
        <v>400</v>
      </c>
      <c r="F60" s="49" t="s">
        <v>855</v>
      </c>
      <c r="G60" s="50" t="s">
        <v>874</v>
      </c>
    </row>
    <row r="61" spans="1:7" ht="12.75">
      <c r="A61" s="29">
        <v>3</v>
      </c>
      <c r="C61" s="90" t="s">
        <v>857</v>
      </c>
      <c r="D61" s="49" t="s">
        <v>372</v>
      </c>
      <c r="E61" s="49" t="s">
        <v>400</v>
      </c>
      <c r="F61" s="49" t="s">
        <v>861</v>
      </c>
      <c r="G61" s="50" t="s">
        <v>875</v>
      </c>
    </row>
    <row r="62" spans="3:4" ht="13.5">
      <c r="C62" s="24"/>
      <c r="D62" s="25" t="s">
        <v>2102</v>
      </c>
    </row>
    <row r="63" spans="3:7" ht="13.5">
      <c r="C63" s="26" t="s">
        <v>373</v>
      </c>
      <c r="D63" s="26" t="s">
        <v>374</v>
      </c>
      <c r="E63" s="26" t="s">
        <v>375</v>
      </c>
      <c r="F63" s="26" t="s">
        <v>376</v>
      </c>
      <c r="G63" s="26" t="s">
        <v>377</v>
      </c>
    </row>
    <row r="64" spans="1:7" ht="12.75">
      <c r="A64" s="29">
        <v>1</v>
      </c>
      <c r="C64" s="90" t="s">
        <v>862</v>
      </c>
      <c r="D64" s="49" t="s">
        <v>384</v>
      </c>
      <c r="E64" s="49" t="s">
        <v>400</v>
      </c>
      <c r="F64" s="49" t="s">
        <v>834</v>
      </c>
      <c r="G64" s="50" t="s">
        <v>877</v>
      </c>
    </row>
    <row r="65" spans="1:7" ht="12.75">
      <c r="A65" s="29">
        <v>2</v>
      </c>
      <c r="C65" s="90" t="s">
        <v>857</v>
      </c>
      <c r="D65" s="49" t="s">
        <v>386</v>
      </c>
      <c r="E65" s="49" t="s">
        <v>400</v>
      </c>
      <c r="F65" s="49" t="s">
        <v>861</v>
      </c>
      <c r="G65" s="50" t="s">
        <v>878</v>
      </c>
    </row>
    <row r="66" spans="1:7" ht="12.75">
      <c r="A66" s="29">
        <v>3</v>
      </c>
      <c r="C66" s="90" t="s">
        <v>827</v>
      </c>
      <c r="D66" s="49" t="s">
        <v>386</v>
      </c>
      <c r="E66" s="49" t="s">
        <v>378</v>
      </c>
      <c r="F66" s="49" t="s">
        <v>246</v>
      </c>
      <c r="G66" s="50" t="s">
        <v>879</v>
      </c>
    </row>
  </sheetData>
  <sheetProtection/>
  <mergeCells count="21">
    <mergeCell ref="C5:N5"/>
    <mergeCell ref="C10:N10"/>
    <mergeCell ref="C43:N43"/>
    <mergeCell ref="M3:M4"/>
    <mergeCell ref="N3:N4"/>
    <mergeCell ref="H3:H4"/>
    <mergeCell ref="I3:L3"/>
    <mergeCell ref="C17:N17"/>
    <mergeCell ref="C25:N25"/>
    <mergeCell ref="C13:N13"/>
    <mergeCell ref="C32:N32"/>
    <mergeCell ref="C36:N36"/>
    <mergeCell ref="C1:O2"/>
    <mergeCell ref="C3:C4"/>
    <mergeCell ref="D3:D4"/>
    <mergeCell ref="E3:E4"/>
    <mergeCell ref="F3:F4"/>
    <mergeCell ref="A3:A4"/>
    <mergeCell ref="B3:B4"/>
    <mergeCell ref="G3:G4"/>
    <mergeCell ref="O3:O4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230"/>
  <sheetViews>
    <sheetView workbookViewId="0" topLeftCell="A164">
      <selection activeCell="C178" sqref="C178"/>
    </sheetView>
  </sheetViews>
  <sheetFormatPr defaultColWidth="8.75390625" defaultRowHeight="12.75"/>
  <cols>
    <col min="1" max="1" width="9.125" style="29" customWidth="1"/>
    <col min="2" max="2" width="11.75390625" style="445" customWidth="1"/>
    <col min="3" max="3" width="32.375" style="15" customWidth="1"/>
    <col min="4" max="4" width="27.125" style="15" bestFit="1" customWidth="1"/>
    <col min="5" max="5" width="10.625" style="15" bestFit="1" customWidth="1"/>
    <col min="6" max="6" width="8.375" style="15" bestFit="1" customWidth="1"/>
    <col min="7" max="7" width="27.25390625" style="15" customWidth="1"/>
    <col min="8" max="8" width="32.375" style="15" customWidth="1"/>
    <col min="9" max="12" width="5.625" style="15" bestFit="1" customWidth="1"/>
    <col min="13" max="13" width="10.75390625" style="30" customWidth="1"/>
    <col min="14" max="14" width="8.625" style="15" bestFit="1" customWidth="1"/>
    <col min="15" max="15" width="32.25390625" style="15" bestFit="1" customWidth="1"/>
  </cols>
  <sheetData>
    <row r="1" spans="1:15" s="1" customFormat="1" ht="15" customHeight="1">
      <c r="A1" s="28"/>
      <c r="B1" s="443"/>
      <c r="C1" s="552" t="s">
        <v>2163</v>
      </c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</row>
    <row r="2" spans="1:15" s="1" customFormat="1" ht="123" customHeight="1" thickBot="1">
      <c r="A2" s="28"/>
      <c r="B2" s="44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</row>
    <row r="3" spans="1:15" s="2" customFormat="1" ht="12.75" customHeight="1">
      <c r="A3" s="546" t="s">
        <v>1627</v>
      </c>
      <c r="B3" s="516" t="s">
        <v>4516</v>
      </c>
      <c r="C3" s="542" t="s">
        <v>0</v>
      </c>
      <c r="D3" s="548" t="s">
        <v>1628</v>
      </c>
      <c r="E3" s="548" t="s">
        <v>1629</v>
      </c>
      <c r="F3" s="542" t="s">
        <v>9</v>
      </c>
      <c r="G3" s="542" t="s">
        <v>7</v>
      </c>
      <c r="H3" s="514" t="s">
        <v>3275</v>
      </c>
      <c r="I3" s="542" t="s">
        <v>2</v>
      </c>
      <c r="J3" s="542"/>
      <c r="K3" s="542"/>
      <c r="L3" s="542"/>
      <c r="M3" s="550" t="s">
        <v>1672</v>
      </c>
      <c r="N3" s="542" t="s">
        <v>6</v>
      </c>
      <c r="O3" s="544" t="s">
        <v>5</v>
      </c>
    </row>
    <row r="4" spans="1:15" s="2" customFormat="1" ht="21" customHeight="1" thickBot="1">
      <c r="A4" s="547"/>
      <c r="B4" s="517"/>
      <c r="C4" s="543"/>
      <c r="D4" s="543"/>
      <c r="E4" s="549"/>
      <c r="F4" s="543"/>
      <c r="G4" s="543"/>
      <c r="H4" s="515"/>
      <c r="I4" s="3">
        <v>1</v>
      </c>
      <c r="J4" s="3">
        <v>2</v>
      </c>
      <c r="K4" s="3">
        <v>3</v>
      </c>
      <c r="L4" s="3" t="s">
        <v>8</v>
      </c>
      <c r="M4" s="551"/>
      <c r="N4" s="543"/>
      <c r="O4" s="545"/>
    </row>
    <row r="5" spans="2:14" ht="15.75">
      <c r="B5" s="410"/>
      <c r="C5" s="526" t="s">
        <v>412</v>
      </c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</row>
    <row r="6" spans="1:15" ht="12.75">
      <c r="A6" s="29">
        <v>1</v>
      </c>
      <c r="B6" s="469">
        <v>36</v>
      </c>
      <c r="C6" s="17" t="s">
        <v>4270</v>
      </c>
      <c r="D6" s="17" t="s">
        <v>414</v>
      </c>
      <c r="E6" s="17" t="s">
        <v>415</v>
      </c>
      <c r="F6" s="17" t="str">
        <f>"1,3470"</f>
        <v>1,3470</v>
      </c>
      <c r="G6" s="17" t="s">
        <v>22</v>
      </c>
      <c r="H6" s="17" t="s">
        <v>23</v>
      </c>
      <c r="I6" s="138" t="s">
        <v>95</v>
      </c>
      <c r="J6" s="138" t="s">
        <v>416</v>
      </c>
      <c r="K6" s="46" t="s">
        <v>56</v>
      </c>
      <c r="L6" s="36"/>
      <c r="M6" s="44">
        <v>70</v>
      </c>
      <c r="N6" s="35" t="str">
        <f>"94,2900"</f>
        <v>94,2900</v>
      </c>
      <c r="O6" s="17" t="s">
        <v>51</v>
      </c>
    </row>
    <row r="7" spans="1:15" ht="12.75">
      <c r="A7" s="29">
        <v>2</v>
      </c>
      <c r="B7" s="469"/>
      <c r="C7" s="18" t="s">
        <v>4271</v>
      </c>
      <c r="D7" s="18" t="s">
        <v>417</v>
      </c>
      <c r="E7" s="18" t="s">
        <v>418</v>
      </c>
      <c r="F7" s="18" t="str">
        <f>"1,3265"</f>
        <v>1,3265</v>
      </c>
      <c r="G7" s="18" t="s">
        <v>31</v>
      </c>
      <c r="H7" s="18" t="s">
        <v>201</v>
      </c>
      <c r="I7" s="140" t="s">
        <v>421</v>
      </c>
      <c r="J7" s="140" t="s">
        <v>419</v>
      </c>
      <c r="K7" s="47" t="s">
        <v>93</v>
      </c>
      <c r="L7" s="39"/>
      <c r="M7" s="40">
        <v>52.5</v>
      </c>
      <c r="N7" s="38" t="str">
        <f>"69,6413"</f>
        <v>69,6413</v>
      </c>
      <c r="O7" s="18" t="s">
        <v>2051</v>
      </c>
    </row>
    <row r="8" spans="1:15" ht="12.75">
      <c r="A8" s="29">
        <v>3</v>
      </c>
      <c r="B8" s="469">
        <v>8</v>
      </c>
      <c r="C8" s="19" t="s">
        <v>4272</v>
      </c>
      <c r="D8" s="19" t="s">
        <v>420</v>
      </c>
      <c r="E8" s="19" t="s">
        <v>418</v>
      </c>
      <c r="F8" s="19" t="str">
        <f>"1,3265"</f>
        <v>1,3265</v>
      </c>
      <c r="G8" s="19" t="s">
        <v>99</v>
      </c>
      <c r="H8" s="19" t="s">
        <v>152</v>
      </c>
      <c r="I8" s="139" t="s">
        <v>70</v>
      </c>
      <c r="J8" s="139" t="s">
        <v>421</v>
      </c>
      <c r="K8" s="48" t="s">
        <v>419</v>
      </c>
      <c r="L8" s="42"/>
      <c r="M8" s="43">
        <v>47.5</v>
      </c>
      <c r="N8" s="41" t="str">
        <f>"63,0088"</f>
        <v>63,0088</v>
      </c>
      <c r="O8" s="19" t="s">
        <v>2052</v>
      </c>
    </row>
    <row r="9" ht="12.75">
      <c r="B9" s="470"/>
    </row>
    <row r="10" spans="2:14" ht="15.75">
      <c r="B10" s="469"/>
      <c r="C10" s="541" t="s">
        <v>66</v>
      </c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</row>
    <row r="11" spans="1:15" ht="12.75">
      <c r="A11" s="29">
        <v>1</v>
      </c>
      <c r="B11" s="469"/>
      <c r="C11" s="17" t="s">
        <v>4273</v>
      </c>
      <c r="D11" s="17" t="s">
        <v>422</v>
      </c>
      <c r="E11" s="17" t="s">
        <v>423</v>
      </c>
      <c r="F11" s="17" t="str">
        <f>"1,2635"</f>
        <v>1,2635</v>
      </c>
      <c r="G11" s="17" t="s">
        <v>31</v>
      </c>
      <c r="H11" s="17" t="s">
        <v>1642</v>
      </c>
      <c r="I11" s="46" t="s">
        <v>94</v>
      </c>
      <c r="J11" s="138" t="s">
        <v>94</v>
      </c>
      <c r="K11" s="46" t="s">
        <v>424</v>
      </c>
      <c r="L11" s="36"/>
      <c r="M11" s="44">
        <v>60</v>
      </c>
      <c r="N11" s="35" t="str">
        <f>"75,8100"</f>
        <v>75,8100</v>
      </c>
      <c r="O11" s="17" t="s">
        <v>2053</v>
      </c>
    </row>
    <row r="12" spans="1:15" ht="12.75">
      <c r="A12" s="29">
        <v>2</v>
      </c>
      <c r="B12" s="469"/>
      <c r="C12" s="18" t="s">
        <v>4274</v>
      </c>
      <c r="D12" s="18" t="s">
        <v>426</v>
      </c>
      <c r="E12" s="18" t="s">
        <v>427</v>
      </c>
      <c r="F12" s="18" t="str">
        <f>"1,2466"</f>
        <v>1,2466</v>
      </c>
      <c r="G12" s="18" t="s">
        <v>31</v>
      </c>
      <c r="H12" s="18" t="s">
        <v>1846</v>
      </c>
      <c r="I12" s="140" t="s">
        <v>71</v>
      </c>
      <c r="J12" s="39"/>
      <c r="K12" s="39"/>
      <c r="L12" s="39"/>
      <c r="M12" s="40">
        <v>45</v>
      </c>
      <c r="N12" s="38" t="s">
        <v>2205</v>
      </c>
      <c r="O12" s="18" t="s">
        <v>51</v>
      </c>
    </row>
    <row r="13" spans="1:15" ht="12.75">
      <c r="A13" s="29">
        <v>1</v>
      </c>
      <c r="B13" s="469">
        <v>12</v>
      </c>
      <c r="C13" s="19" t="s">
        <v>4275</v>
      </c>
      <c r="D13" s="19" t="s">
        <v>429</v>
      </c>
      <c r="E13" s="19" t="s">
        <v>430</v>
      </c>
      <c r="F13" s="19" t="str">
        <f>"1,2905"</f>
        <v>1,2905</v>
      </c>
      <c r="G13" s="19" t="s">
        <v>431</v>
      </c>
      <c r="H13" s="19" t="s">
        <v>1903</v>
      </c>
      <c r="I13" s="48" t="s">
        <v>432</v>
      </c>
      <c r="J13" s="48" t="s">
        <v>432</v>
      </c>
      <c r="K13" s="139" t="s">
        <v>432</v>
      </c>
      <c r="L13" s="42"/>
      <c r="M13" s="43">
        <v>50</v>
      </c>
      <c r="N13" s="41" t="str">
        <f>"64,8476"</f>
        <v>64,8476</v>
      </c>
      <c r="O13" s="19" t="s">
        <v>1911</v>
      </c>
    </row>
    <row r="14" ht="12.75">
      <c r="B14" s="470"/>
    </row>
    <row r="15" spans="2:14" ht="15.75">
      <c r="B15" s="469"/>
      <c r="C15" s="541" t="s">
        <v>10</v>
      </c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1"/>
    </row>
    <row r="16" spans="1:15" ht="12.75">
      <c r="A16" s="29">
        <v>1</v>
      </c>
      <c r="B16" s="469">
        <v>12</v>
      </c>
      <c r="C16" s="17" t="s">
        <v>4276</v>
      </c>
      <c r="D16" s="88" t="s">
        <v>434</v>
      </c>
      <c r="E16" s="17" t="s">
        <v>435</v>
      </c>
      <c r="F16" s="17" t="str">
        <f>"1,2054"</f>
        <v>1,2054</v>
      </c>
      <c r="G16" s="17" t="s">
        <v>130</v>
      </c>
      <c r="H16" s="83" t="s">
        <v>1903</v>
      </c>
      <c r="I16" s="142" t="s">
        <v>16</v>
      </c>
      <c r="J16" s="138" t="s">
        <v>70</v>
      </c>
      <c r="K16" s="121" t="s">
        <v>71</v>
      </c>
      <c r="L16" s="101"/>
      <c r="M16" s="44">
        <v>42.5</v>
      </c>
      <c r="N16" s="35" t="str">
        <f>"51,2295"</f>
        <v>51,2295</v>
      </c>
      <c r="O16" s="17" t="s">
        <v>1884</v>
      </c>
    </row>
    <row r="17" spans="1:15" ht="12.75">
      <c r="A17" s="29">
        <v>1</v>
      </c>
      <c r="B17" s="469">
        <v>30</v>
      </c>
      <c r="C17" s="18" t="s">
        <v>4665</v>
      </c>
      <c r="D17" s="93" t="s">
        <v>443</v>
      </c>
      <c r="E17" s="18" t="s">
        <v>444</v>
      </c>
      <c r="F17" s="18" t="str">
        <f>"1,1900"</f>
        <v>1,1900</v>
      </c>
      <c r="G17" s="18" t="s">
        <v>125</v>
      </c>
      <c r="H17" s="92" t="s">
        <v>445</v>
      </c>
      <c r="I17" s="143" t="s">
        <v>56</v>
      </c>
      <c r="J17" s="47" t="s">
        <v>57</v>
      </c>
      <c r="K17" s="103" t="s">
        <v>57</v>
      </c>
      <c r="L17" s="102"/>
      <c r="M17" s="52">
        <v>72.5</v>
      </c>
      <c r="N17" s="38" t="s">
        <v>2204</v>
      </c>
      <c r="O17" s="18" t="s">
        <v>1699</v>
      </c>
    </row>
    <row r="18" spans="1:15" ht="12.75">
      <c r="A18" s="29">
        <v>2</v>
      </c>
      <c r="B18" s="469"/>
      <c r="C18" s="18" t="s">
        <v>4277</v>
      </c>
      <c r="D18" s="93" t="s">
        <v>437</v>
      </c>
      <c r="E18" s="18" t="s">
        <v>438</v>
      </c>
      <c r="F18" s="18" t="str">
        <f>"1,2284"</f>
        <v>1,2284</v>
      </c>
      <c r="G18" s="18" t="s">
        <v>31</v>
      </c>
      <c r="H18" s="92" t="s">
        <v>1846</v>
      </c>
      <c r="I18" s="143" t="s">
        <v>2191</v>
      </c>
      <c r="J18" s="140" t="s">
        <v>40</v>
      </c>
      <c r="K18" s="103" t="s">
        <v>16</v>
      </c>
      <c r="L18" s="102"/>
      <c r="M18" s="40">
        <v>37.5</v>
      </c>
      <c r="N18" s="38" t="str">
        <f>"46,0650"</f>
        <v>46,0650</v>
      </c>
      <c r="O18" s="18" t="s">
        <v>51</v>
      </c>
    </row>
    <row r="19" spans="1:15" ht="12.75">
      <c r="A19" s="29">
        <v>3</v>
      </c>
      <c r="B19" s="469"/>
      <c r="C19" s="19" t="s">
        <v>4666</v>
      </c>
      <c r="D19" s="95" t="s">
        <v>440</v>
      </c>
      <c r="E19" s="19" t="s">
        <v>441</v>
      </c>
      <c r="F19" s="19" t="str">
        <f>"1,1766"</f>
        <v>1,1766</v>
      </c>
      <c r="G19" s="19" t="s">
        <v>31</v>
      </c>
      <c r="H19" s="94" t="s">
        <v>1903</v>
      </c>
      <c r="I19" s="144" t="s">
        <v>2191</v>
      </c>
      <c r="J19" s="139" t="s">
        <v>40</v>
      </c>
      <c r="K19" s="112" t="s">
        <v>421</v>
      </c>
      <c r="L19" s="109"/>
      <c r="M19" s="43">
        <v>37.5</v>
      </c>
      <c r="N19" s="41" t="str">
        <f>"44,1225"</f>
        <v>44,1225</v>
      </c>
      <c r="O19" s="19" t="s">
        <v>2054</v>
      </c>
    </row>
    <row r="20" ht="12.75">
      <c r="B20" s="470"/>
    </row>
    <row r="21" spans="2:14" ht="15.75">
      <c r="B21" s="469"/>
      <c r="C21" s="541" t="s">
        <v>80</v>
      </c>
      <c r="D21" s="541"/>
      <c r="E21" s="541"/>
      <c r="F21" s="541"/>
      <c r="G21" s="541"/>
      <c r="H21" s="541"/>
      <c r="I21" s="541"/>
      <c r="J21" s="541"/>
      <c r="K21" s="541"/>
      <c r="L21" s="541"/>
      <c r="M21" s="541"/>
      <c r="N21" s="541"/>
    </row>
    <row r="22" spans="1:15" ht="12.75">
      <c r="A22" s="29">
        <v>1</v>
      </c>
      <c r="B22" s="469"/>
      <c r="C22" s="17" t="s">
        <v>4265</v>
      </c>
      <c r="D22" s="17" t="s">
        <v>449</v>
      </c>
      <c r="E22" s="84" t="s">
        <v>450</v>
      </c>
      <c r="F22" s="17" t="str">
        <f>"1,1295"</f>
        <v>1,1295</v>
      </c>
      <c r="G22" s="84" t="s">
        <v>31</v>
      </c>
      <c r="H22" s="17" t="s">
        <v>105</v>
      </c>
      <c r="I22" s="147" t="s">
        <v>33</v>
      </c>
      <c r="J22" s="138" t="s">
        <v>451</v>
      </c>
      <c r="K22" s="147" t="s">
        <v>303</v>
      </c>
      <c r="L22" s="138" t="s">
        <v>452</v>
      </c>
      <c r="M22" s="151">
        <v>100</v>
      </c>
      <c r="N22" s="35" t="str">
        <f>"112,9500"</f>
        <v>112,9500</v>
      </c>
      <c r="O22" s="88" t="s">
        <v>1842</v>
      </c>
    </row>
    <row r="23" spans="1:15" ht="12.75">
      <c r="A23" s="29">
        <v>1</v>
      </c>
      <c r="B23" s="469">
        <v>12</v>
      </c>
      <c r="C23" s="18" t="s">
        <v>4667</v>
      </c>
      <c r="D23" s="18" t="s">
        <v>453</v>
      </c>
      <c r="E23" s="79" t="s">
        <v>454</v>
      </c>
      <c r="F23" s="18" t="str">
        <f>"1,1178"</f>
        <v>1,1178</v>
      </c>
      <c r="G23" s="79" t="s">
        <v>2104</v>
      </c>
      <c r="H23" s="18" t="s">
        <v>1903</v>
      </c>
      <c r="I23" s="80" t="s">
        <v>424</v>
      </c>
      <c r="J23" s="140" t="s">
        <v>424</v>
      </c>
      <c r="K23" s="146" t="s">
        <v>95</v>
      </c>
      <c r="L23" s="39"/>
      <c r="M23" s="150">
        <v>65</v>
      </c>
      <c r="N23" s="38" t="str">
        <f>"72,6570"</f>
        <v>72,6570</v>
      </c>
      <c r="O23" s="93" t="s">
        <v>51</v>
      </c>
    </row>
    <row r="24" spans="1:15" ht="12.75">
      <c r="A24" s="29">
        <v>2</v>
      </c>
      <c r="B24" s="469"/>
      <c r="C24" s="18" t="s">
        <v>4668</v>
      </c>
      <c r="D24" s="18" t="s">
        <v>455</v>
      </c>
      <c r="E24" s="79" t="s">
        <v>456</v>
      </c>
      <c r="F24" s="18" t="str">
        <f>"1,1525"</f>
        <v>1,1525</v>
      </c>
      <c r="G24" s="79" t="s">
        <v>31</v>
      </c>
      <c r="H24" s="18" t="s">
        <v>1903</v>
      </c>
      <c r="I24" s="146" t="s">
        <v>419</v>
      </c>
      <c r="J24" s="140" t="s">
        <v>457</v>
      </c>
      <c r="K24" s="80" t="s">
        <v>94</v>
      </c>
      <c r="L24" s="39"/>
      <c r="M24" s="150">
        <v>57.5</v>
      </c>
      <c r="N24" s="38" t="str">
        <f>"66,2688"</f>
        <v>66,2688</v>
      </c>
      <c r="O24" s="93" t="s">
        <v>2055</v>
      </c>
    </row>
    <row r="25" spans="1:15" ht="12.75">
      <c r="A25" s="29">
        <v>1</v>
      </c>
      <c r="B25" s="469"/>
      <c r="C25" s="18" t="s">
        <v>4265</v>
      </c>
      <c r="D25" s="18" t="s">
        <v>2260</v>
      </c>
      <c r="E25" s="79" t="s">
        <v>450</v>
      </c>
      <c r="F25" s="18" t="str">
        <f>"1,1295"</f>
        <v>1,1295</v>
      </c>
      <c r="G25" s="79" t="s">
        <v>31</v>
      </c>
      <c r="H25" s="18" t="s">
        <v>105</v>
      </c>
      <c r="I25" s="146" t="s">
        <v>33</v>
      </c>
      <c r="J25" s="140" t="s">
        <v>451</v>
      </c>
      <c r="K25" s="146" t="s">
        <v>303</v>
      </c>
      <c r="L25" s="140" t="s">
        <v>452</v>
      </c>
      <c r="M25" s="150">
        <v>100</v>
      </c>
      <c r="N25" s="38" t="str">
        <f>"112,9500"</f>
        <v>112,9500</v>
      </c>
      <c r="O25" s="93" t="s">
        <v>1842</v>
      </c>
    </row>
    <row r="26" spans="1:15" ht="12.75">
      <c r="A26" s="29">
        <v>2</v>
      </c>
      <c r="B26" s="469"/>
      <c r="C26" s="19" t="s">
        <v>4669</v>
      </c>
      <c r="D26" s="19" t="s">
        <v>458</v>
      </c>
      <c r="E26" s="98" t="s">
        <v>459</v>
      </c>
      <c r="F26" s="19" t="str">
        <f>"1,1386"</f>
        <v>1,1386</v>
      </c>
      <c r="G26" s="98" t="s">
        <v>31</v>
      </c>
      <c r="H26" s="19" t="s">
        <v>1903</v>
      </c>
      <c r="I26" s="148" t="s">
        <v>419</v>
      </c>
      <c r="J26" s="139" t="s">
        <v>457</v>
      </c>
      <c r="K26" s="148" t="s">
        <v>424</v>
      </c>
      <c r="L26" s="42"/>
      <c r="M26" s="152">
        <v>62.5</v>
      </c>
      <c r="N26" s="41" t="str">
        <f>"71,1625"</f>
        <v>71,1625</v>
      </c>
      <c r="O26" s="95" t="s">
        <v>51</v>
      </c>
    </row>
    <row r="27" ht="12.75">
      <c r="B27" s="470"/>
    </row>
    <row r="28" spans="2:14" ht="15.75">
      <c r="B28" s="469"/>
      <c r="C28" s="541" t="s">
        <v>18</v>
      </c>
      <c r="D28" s="541"/>
      <c r="E28" s="541"/>
      <c r="F28" s="541"/>
      <c r="G28" s="541"/>
      <c r="H28" s="541"/>
      <c r="I28" s="541"/>
      <c r="J28" s="541"/>
      <c r="K28" s="541"/>
      <c r="L28" s="541"/>
      <c r="M28" s="541"/>
      <c r="N28" s="541"/>
    </row>
    <row r="29" spans="1:15" ht="12.75">
      <c r="A29" s="29">
        <v>1</v>
      </c>
      <c r="B29" s="469">
        <v>12</v>
      </c>
      <c r="C29" s="17" t="s">
        <v>4670</v>
      </c>
      <c r="D29" s="17" t="s">
        <v>461</v>
      </c>
      <c r="E29" s="17" t="s">
        <v>462</v>
      </c>
      <c r="F29" s="17" t="str">
        <f>"1,0831"</f>
        <v>1,0831</v>
      </c>
      <c r="G29" s="17" t="s">
        <v>125</v>
      </c>
      <c r="H29" s="83" t="s">
        <v>1903</v>
      </c>
      <c r="I29" s="142" t="s">
        <v>55</v>
      </c>
      <c r="J29" s="138" t="s">
        <v>416</v>
      </c>
      <c r="K29" s="121" t="s">
        <v>57</v>
      </c>
      <c r="L29" s="101"/>
      <c r="M29" s="44">
        <v>70</v>
      </c>
      <c r="N29" s="35" t="str">
        <f>"75,8170"</f>
        <v>75,8170</v>
      </c>
      <c r="O29" s="17" t="s">
        <v>2056</v>
      </c>
    </row>
    <row r="30" spans="1:15" ht="12.75">
      <c r="A30" s="29">
        <v>1</v>
      </c>
      <c r="B30" s="469"/>
      <c r="C30" s="18" t="s">
        <v>4671</v>
      </c>
      <c r="D30" s="18" t="s">
        <v>463</v>
      </c>
      <c r="E30" s="18" t="s">
        <v>464</v>
      </c>
      <c r="F30" s="18" t="str">
        <f>"1,1021"</f>
        <v>1,1021</v>
      </c>
      <c r="G30" s="18" t="s">
        <v>31</v>
      </c>
      <c r="H30" s="92" t="s">
        <v>465</v>
      </c>
      <c r="I30" s="143" t="s">
        <v>95</v>
      </c>
      <c r="J30" s="47" t="s">
        <v>416</v>
      </c>
      <c r="K30" s="103" t="s">
        <v>416</v>
      </c>
      <c r="L30" s="102"/>
      <c r="M30" s="52" t="s">
        <v>2193</v>
      </c>
      <c r="N30" s="38" t="s">
        <v>2194</v>
      </c>
      <c r="O30" s="18" t="s">
        <v>2057</v>
      </c>
    </row>
    <row r="31" spans="1:15" ht="12.75">
      <c r="A31" s="29">
        <v>1</v>
      </c>
      <c r="B31" s="469"/>
      <c r="C31" s="18" t="s">
        <v>4655</v>
      </c>
      <c r="D31" s="18" t="s">
        <v>468</v>
      </c>
      <c r="E31" s="18" t="s">
        <v>469</v>
      </c>
      <c r="F31" s="18" t="str">
        <f>"1,0701"</f>
        <v>1,0701</v>
      </c>
      <c r="G31" s="18" t="s">
        <v>31</v>
      </c>
      <c r="H31" s="92" t="s">
        <v>470</v>
      </c>
      <c r="I31" s="143" t="s">
        <v>303</v>
      </c>
      <c r="J31" s="140" t="s">
        <v>471</v>
      </c>
      <c r="K31" s="103" t="s">
        <v>24</v>
      </c>
      <c r="L31" s="102"/>
      <c r="M31" s="40">
        <v>105</v>
      </c>
      <c r="N31" s="38" t="str">
        <f>"112,3605"</f>
        <v>112,3605</v>
      </c>
      <c r="O31" s="18" t="s">
        <v>1953</v>
      </c>
    </row>
    <row r="32" spans="1:15" ht="12.75">
      <c r="A32" s="29">
        <v>2</v>
      </c>
      <c r="B32" s="469"/>
      <c r="C32" s="18" t="s">
        <v>4672</v>
      </c>
      <c r="D32" s="18" t="s">
        <v>472</v>
      </c>
      <c r="E32" s="18" t="s">
        <v>473</v>
      </c>
      <c r="F32" s="18" t="str">
        <f>"1,0740"</f>
        <v>1,0740</v>
      </c>
      <c r="G32" s="18" t="s">
        <v>31</v>
      </c>
      <c r="H32" s="92" t="s">
        <v>1903</v>
      </c>
      <c r="I32" s="143" t="s">
        <v>48</v>
      </c>
      <c r="J32" s="140" t="s">
        <v>474</v>
      </c>
      <c r="K32" s="103" t="s">
        <v>49</v>
      </c>
      <c r="L32" s="102"/>
      <c r="M32" s="40">
        <v>85</v>
      </c>
      <c r="N32" s="38" t="str">
        <f>"91,2900"</f>
        <v>91,2900</v>
      </c>
      <c r="O32" s="18" t="s">
        <v>2058</v>
      </c>
    </row>
    <row r="33" spans="1:15" ht="12" customHeight="1">
      <c r="A33" s="29">
        <v>3</v>
      </c>
      <c r="B33" s="469"/>
      <c r="C33" s="18" t="s">
        <v>4673</v>
      </c>
      <c r="D33" s="18" t="s">
        <v>475</v>
      </c>
      <c r="E33" s="18" t="s">
        <v>476</v>
      </c>
      <c r="F33" s="18" t="str">
        <f>"1,0217"</f>
        <v>1,0217</v>
      </c>
      <c r="G33" s="18" t="s">
        <v>31</v>
      </c>
      <c r="H33" s="92" t="s">
        <v>1903</v>
      </c>
      <c r="I33" s="143" t="s">
        <v>48</v>
      </c>
      <c r="J33" s="140" t="s">
        <v>474</v>
      </c>
      <c r="K33" s="103" t="s">
        <v>49</v>
      </c>
      <c r="L33" s="102"/>
      <c r="M33" s="40">
        <v>85</v>
      </c>
      <c r="N33" s="38" t="str">
        <f>"86,8445"</f>
        <v>86,8445</v>
      </c>
      <c r="O33" s="18" t="s">
        <v>51</v>
      </c>
    </row>
    <row r="34" spans="1:15" ht="12" customHeight="1">
      <c r="A34" s="29">
        <v>4</v>
      </c>
      <c r="B34" s="469"/>
      <c r="C34" s="18" t="s">
        <v>4671</v>
      </c>
      <c r="D34" s="18" t="s">
        <v>485</v>
      </c>
      <c r="E34" s="18" t="s">
        <v>464</v>
      </c>
      <c r="F34" s="18" t="str">
        <f>"1,1021"</f>
        <v>1,1021</v>
      </c>
      <c r="G34" s="18" t="s">
        <v>31</v>
      </c>
      <c r="H34" s="92" t="s">
        <v>465</v>
      </c>
      <c r="I34" s="143" t="s">
        <v>95</v>
      </c>
      <c r="J34" s="47" t="s">
        <v>416</v>
      </c>
      <c r="K34" s="103" t="s">
        <v>416</v>
      </c>
      <c r="L34" s="102"/>
      <c r="M34" s="52" t="s">
        <v>2193</v>
      </c>
      <c r="N34" s="38" t="s">
        <v>2194</v>
      </c>
      <c r="O34" s="18" t="s">
        <v>466</v>
      </c>
    </row>
    <row r="35" spans="1:15" ht="12" customHeight="1">
      <c r="A35" s="29">
        <v>5</v>
      </c>
      <c r="B35" s="469">
        <v>6</v>
      </c>
      <c r="C35" s="18" t="s">
        <v>4674</v>
      </c>
      <c r="D35" s="18" t="s">
        <v>478</v>
      </c>
      <c r="E35" s="18" t="s">
        <v>479</v>
      </c>
      <c r="F35" s="18" t="str">
        <f>"1,0980"</f>
        <v>1,0980</v>
      </c>
      <c r="G35" s="18" t="s">
        <v>125</v>
      </c>
      <c r="H35" s="92" t="s">
        <v>445</v>
      </c>
      <c r="I35" s="127" t="s">
        <v>424</v>
      </c>
      <c r="J35" s="47" t="s">
        <v>424</v>
      </c>
      <c r="K35" s="149" t="s">
        <v>424</v>
      </c>
      <c r="L35" s="102"/>
      <c r="M35" s="40">
        <v>62.5</v>
      </c>
      <c r="N35" s="38" t="str">
        <f>"68,6250"</f>
        <v>68,6250</v>
      </c>
      <c r="O35" s="18" t="s">
        <v>1698</v>
      </c>
    </row>
    <row r="36" spans="1:15" ht="12.75">
      <c r="A36" s="29">
        <v>6</v>
      </c>
      <c r="B36" s="469">
        <v>5</v>
      </c>
      <c r="C36" s="18" t="s">
        <v>4675</v>
      </c>
      <c r="D36" s="18" t="s">
        <v>481</v>
      </c>
      <c r="E36" s="18" t="s">
        <v>482</v>
      </c>
      <c r="F36" s="18" t="str">
        <f>"1,0527"</f>
        <v>1,0527</v>
      </c>
      <c r="G36" s="18" t="s">
        <v>483</v>
      </c>
      <c r="H36" s="92" t="s">
        <v>484</v>
      </c>
      <c r="I36" s="143" t="s">
        <v>93</v>
      </c>
      <c r="J36" s="140" t="s">
        <v>94</v>
      </c>
      <c r="K36" s="103" t="s">
        <v>95</v>
      </c>
      <c r="L36" s="102"/>
      <c r="M36" s="40">
        <v>60</v>
      </c>
      <c r="N36" s="38" t="str">
        <f>"63,1620"</f>
        <v>63,1620</v>
      </c>
      <c r="O36" s="18" t="s">
        <v>1821</v>
      </c>
    </row>
    <row r="37" spans="1:15" ht="12.75">
      <c r="A37" s="29">
        <v>1</v>
      </c>
      <c r="B37" s="469">
        <v>12</v>
      </c>
      <c r="C37" s="19" t="s">
        <v>4676</v>
      </c>
      <c r="D37" s="19" t="s">
        <v>487</v>
      </c>
      <c r="E37" s="19" t="s">
        <v>104</v>
      </c>
      <c r="F37" s="19" t="str">
        <f>"1,0455"</f>
        <v>1,0455</v>
      </c>
      <c r="G37" s="19" t="s">
        <v>130</v>
      </c>
      <c r="H37" s="94" t="s">
        <v>488</v>
      </c>
      <c r="I37" s="144" t="s">
        <v>432</v>
      </c>
      <c r="J37" s="139" t="s">
        <v>419</v>
      </c>
      <c r="K37" s="112" t="s">
        <v>93</v>
      </c>
      <c r="L37" s="109"/>
      <c r="M37" s="43">
        <v>52.5</v>
      </c>
      <c r="N37" s="41" t="str">
        <f>"55,1632"</f>
        <v>55,1632</v>
      </c>
      <c r="O37" s="19" t="s">
        <v>51</v>
      </c>
    </row>
    <row r="38" ht="12.75">
      <c r="B38" s="470"/>
    </row>
    <row r="39" spans="2:14" ht="15.75">
      <c r="B39" s="469"/>
      <c r="C39" s="541" t="s">
        <v>42</v>
      </c>
      <c r="D39" s="541"/>
      <c r="E39" s="541"/>
      <c r="F39" s="541"/>
      <c r="G39" s="541"/>
      <c r="H39" s="541"/>
      <c r="I39" s="541"/>
      <c r="J39" s="541"/>
      <c r="K39" s="541"/>
      <c r="L39" s="541"/>
      <c r="M39" s="541"/>
      <c r="N39" s="541"/>
    </row>
    <row r="40" spans="1:15" ht="12.75">
      <c r="A40" s="29">
        <v>1</v>
      </c>
      <c r="B40" s="469">
        <v>24</v>
      </c>
      <c r="C40" s="17" t="s">
        <v>4677</v>
      </c>
      <c r="D40" s="17" t="s">
        <v>493</v>
      </c>
      <c r="E40" s="84" t="s">
        <v>494</v>
      </c>
      <c r="F40" s="17" t="str">
        <f>"0,9968"</f>
        <v>0,9968</v>
      </c>
      <c r="G40" s="84" t="s">
        <v>148</v>
      </c>
      <c r="H40" s="17" t="s">
        <v>149</v>
      </c>
      <c r="I40" s="147" t="s">
        <v>474</v>
      </c>
      <c r="J40" s="46" t="s">
        <v>495</v>
      </c>
      <c r="K40" s="85" t="s">
        <v>495</v>
      </c>
      <c r="L40" s="36"/>
      <c r="M40" s="151">
        <v>85</v>
      </c>
      <c r="N40" s="35" t="s">
        <v>2188</v>
      </c>
      <c r="O40" s="88" t="s">
        <v>51</v>
      </c>
    </row>
    <row r="41" spans="1:15" ht="12.75">
      <c r="A41" s="29">
        <v>2</v>
      </c>
      <c r="B41" s="469">
        <v>9</v>
      </c>
      <c r="C41" s="18" t="s">
        <v>4678</v>
      </c>
      <c r="D41" s="18" t="s">
        <v>489</v>
      </c>
      <c r="E41" s="79" t="s">
        <v>490</v>
      </c>
      <c r="F41" s="18" t="str">
        <f>"0,9621"</f>
        <v>0,9621</v>
      </c>
      <c r="G41" s="79" t="s">
        <v>130</v>
      </c>
      <c r="H41" s="18" t="s">
        <v>2245</v>
      </c>
      <c r="I41" s="146" t="s">
        <v>416</v>
      </c>
      <c r="J41" s="140" t="s">
        <v>57</v>
      </c>
      <c r="K41" s="80" t="s">
        <v>48</v>
      </c>
      <c r="L41" s="39"/>
      <c r="M41" s="150">
        <v>75</v>
      </c>
      <c r="N41" s="38" t="str">
        <f>"72,1575"</f>
        <v>72,1575</v>
      </c>
      <c r="O41" s="93" t="s">
        <v>51</v>
      </c>
    </row>
    <row r="42" spans="1:15" ht="12.75">
      <c r="A42" s="29">
        <v>3</v>
      </c>
      <c r="B42" s="469">
        <v>8</v>
      </c>
      <c r="C42" s="19" t="s">
        <v>4679</v>
      </c>
      <c r="D42" s="19" t="s">
        <v>491</v>
      </c>
      <c r="E42" s="98" t="s">
        <v>492</v>
      </c>
      <c r="F42" s="19" t="str">
        <f>"1,0174"</f>
        <v>1,0174</v>
      </c>
      <c r="G42" s="98" t="s">
        <v>130</v>
      </c>
      <c r="H42" s="19" t="s">
        <v>2245</v>
      </c>
      <c r="I42" s="148" t="s">
        <v>71</v>
      </c>
      <c r="J42" s="139" t="s">
        <v>421</v>
      </c>
      <c r="K42" s="148" t="s">
        <v>432</v>
      </c>
      <c r="L42" s="42"/>
      <c r="M42" s="152">
        <v>50</v>
      </c>
      <c r="N42" s="41" t="str">
        <f>"50,8700"</f>
        <v>50,8700</v>
      </c>
      <c r="O42" s="95" t="s">
        <v>51</v>
      </c>
    </row>
    <row r="43" ht="12.75">
      <c r="B43" s="470"/>
    </row>
    <row r="44" spans="2:14" ht="15.75">
      <c r="B44" s="469"/>
      <c r="C44" s="541" t="s">
        <v>59</v>
      </c>
      <c r="D44" s="541"/>
      <c r="E44" s="541"/>
      <c r="F44" s="541"/>
      <c r="G44" s="541"/>
      <c r="H44" s="541"/>
      <c r="I44" s="541"/>
      <c r="J44" s="541"/>
      <c r="K44" s="541"/>
      <c r="L44" s="541"/>
      <c r="M44" s="541"/>
      <c r="N44" s="541"/>
    </row>
    <row r="45" spans="1:15" ht="12.75">
      <c r="A45" s="29">
        <v>1</v>
      </c>
      <c r="B45" s="469"/>
      <c r="C45" s="20" t="s">
        <v>4680</v>
      </c>
      <c r="D45" s="20" t="s">
        <v>497</v>
      </c>
      <c r="E45" s="20" t="s">
        <v>498</v>
      </c>
      <c r="F45" s="20" t="str">
        <f>"0,8694"</f>
        <v>0,8694</v>
      </c>
      <c r="G45" s="20" t="s">
        <v>31</v>
      </c>
      <c r="H45" s="20" t="s">
        <v>1903</v>
      </c>
      <c r="I45" s="134" t="s">
        <v>93</v>
      </c>
      <c r="J45" s="134" t="s">
        <v>457</v>
      </c>
      <c r="K45" s="45" t="s">
        <v>94</v>
      </c>
      <c r="L45" s="31"/>
      <c r="M45" s="34">
        <v>57.5</v>
      </c>
      <c r="N45" s="33" t="str">
        <f>"62,4881"</f>
        <v>62,4881</v>
      </c>
      <c r="O45" s="20" t="s">
        <v>2059</v>
      </c>
    </row>
    <row r="46" ht="12.75">
      <c r="B46" s="470"/>
    </row>
    <row r="47" spans="2:14" ht="15.75">
      <c r="B47" s="469"/>
      <c r="C47" s="541" t="s">
        <v>499</v>
      </c>
      <c r="D47" s="541"/>
      <c r="E47" s="541"/>
      <c r="F47" s="541"/>
      <c r="G47" s="541"/>
      <c r="H47" s="541"/>
      <c r="I47" s="541"/>
      <c r="J47" s="541"/>
      <c r="K47" s="541"/>
      <c r="L47" s="541"/>
      <c r="M47" s="541"/>
      <c r="N47" s="541"/>
    </row>
    <row r="48" spans="1:15" ht="12.75">
      <c r="A48" s="29">
        <v>1</v>
      </c>
      <c r="B48" s="469">
        <v>12</v>
      </c>
      <c r="C48" s="20" t="s">
        <v>4521</v>
      </c>
      <c r="D48" s="20" t="s">
        <v>500</v>
      </c>
      <c r="E48" s="20" t="s">
        <v>205</v>
      </c>
      <c r="F48" s="20" t="str">
        <f>"0,8372"</f>
        <v>0,8372</v>
      </c>
      <c r="G48" s="20" t="s">
        <v>125</v>
      </c>
      <c r="H48" s="20" t="s">
        <v>267</v>
      </c>
      <c r="I48" s="134" t="s">
        <v>71</v>
      </c>
      <c r="J48" s="134" t="s">
        <v>432</v>
      </c>
      <c r="K48" s="45" t="s">
        <v>457</v>
      </c>
      <c r="L48" s="31"/>
      <c r="M48" s="34">
        <v>50</v>
      </c>
      <c r="N48" s="33" t="str">
        <f>"41,8600"</f>
        <v>41,8600</v>
      </c>
      <c r="O48" s="20" t="s">
        <v>51</v>
      </c>
    </row>
    <row r="49" ht="12.75">
      <c r="B49" s="470"/>
    </row>
    <row r="50" spans="2:14" ht="15.75">
      <c r="B50" s="469"/>
      <c r="C50" s="541" t="s">
        <v>66</v>
      </c>
      <c r="D50" s="541"/>
      <c r="E50" s="541"/>
      <c r="F50" s="541"/>
      <c r="G50" s="541"/>
      <c r="H50" s="541"/>
      <c r="I50" s="541"/>
      <c r="J50" s="541"/>
      <c r="K50" s="541"/>
      <c r="L50" s="541"/>
      <c r="M50" s="541"/>
      <c r="N50" s="541"/>
    </row>
    <row r="51" spans="1:15" ht="12.75">
      <c r="A51" s="29">
        <v>1</v>
      </c>
      <c r="B51" s="469">
        <v>12</v>
      </c>
      <c r="C51" s="17" t="s">
        <v>501</v>
      </c>
      <c r="D51" s="17" t="s">
        <v>502</v>
      </c>
      <c r="E51" s="17" t="s">
        <v>503</v>
      </c>
      <c r="F51" s="17" t="str">
        <f>"1,3354"</f>
        <v>1,3354</v>
      </c>
      <c r="G51" s="17" t="s">
        <v>54</v>
      </c>
      <c r="H51" s="17" t="s">
        <v>504</v>
      </c>
      <c r="I51" s="138" t="s">
        <v>2192</v>
      </c>
      <c r="J51" s="138" t="s">
        <v>505</v>
      </c>
      <c r="K51" s="46" t="s">
        <v>506</v>
      </c>
      <c r="L51" s="36"/>
      <c r="M51" s="44">
        <v>22.5</v>
      </c>
      <c r="N51" s="35" t="str">
        <f>"30,0465"</f>
        <v>30,0465</v>
      </c>
      <c r="O51" s="17" t="s">
        <v>2036</v>
      </c>
    </row>
    <row r="52" spans="1:15" ht="12.75">
      <c r="A52" s="29">
        <v>1</v>
      </c>
      <c r="B52" s="469"/>
      <c r="C52" s="18" t="s">
        <v>4278</v>
      </c>
      <c r="D52" s="18" t="s">
        <v>507</v>
      </c>
      <c r="E52" s="18" t="s">
        <v>508</v>
      </c>
      <c r="F52" s="18" t="str">
        <f>"1,0484"</f>
        <v>1,0484</v>
      </c>
      <c r="G52" s="18" t="s">
        <v>31</v>
      </c>
      <c r="H52" s="18" t="s">
        <v>509</v>
      </c>
      <c r="I52" s="140" t="s">
        <v>424</v>
      </c>
      <c r="J52" s="140" t="s">
        <v>55</v>
      </c>
      <c r="K52" s="47" t="s">
        <v>56</v>
      </c>
      <c r="L52" s="39"/>
      <c r="M52" s="40">
        <v>67.5</v>
      </c>
      <c r="N52" s="38" t="str">
        <f>"70,7670"</f>
        <v>70,7670</v>
      </c>
      <c r="O52" s="18" t="s">
        <v>1822</v>
      </c>
    </row>
    <row r="53" spans="1:15" ht="12.75">
      <c r="A53" s="29">
        <v>1</v>
      </c>
      <c r="B53" s="469">
        <v>12</v>
      </c>
      <c r="C53" s="19" t="s">
        <v>4279</v>
      </c>
      <c r="D53" s="19" t="s">
        <v>510</v>
      </c>
      <c r="E53" s="19" t="s">
        <v>511</v>
      </c>
      <c r="F53" s="19" t="str">
        <f>"1,0101"</f>
        <v>1,0101</v>
      </c>
      <c r="G53" s="19" t="s">
        <v>130</v>
      </c>
      <c r="H53" s="19" t="s">
        <v>512</v>
      </c>
      <c r="I53" s="139" t="s">
        <v>666</v>
      </c>
      <c r="J53" s="48" t="s">
        <v>513</v>
      </c>
      <c r="K53" s="48" t="s">
        <v>513</v>
      </c>
      <c r="L53" s="42"/>
      <c r="M53" s="51">
        <v>77.5</v>
      </c>
      <c r="N53" s="41" t="s">
        <v>2195</v>
      </c>
      <c r="O53" s="19" t="s">
        <v>2060</v>
      </c>
    </row>
    <row r="54" ht="12.75">
      <c r="B54" s="470"/>
    </row>
    <row r="55" spans="2:14" ht="15.75">
      <c r="B55" s="469"/>
      <c r="C55" s="541" t="s">
        <v>80</v>
      </c>
      <c r="D55" s="541"/>
      <c r="E55" s="541"/>
      <c r="F55" s="541"/>
      <c r="G55" s="541"/>
      <c r="H55" s="541"/>
      <c r="I55" s="541"/>
      <c r="J55" s="541"/>
      <c r="K55" s="541"/>
      <c r="L55" s="541"/>
      <c r="M55" s="541"/>
      <c r="N55" s="541"/>
    </row>
    <row r="56" spans="1:15" ht="12.75">
      <c r="A56" s="29">
        <v>1</v>
      </c>
      <c r="B56" s="469"/>
      <c r="C56" s="17" t="s">
        <v>4280</v>
      </c>
      <c r="D56" s="17" t="s">
        <v>514</v>
      </c>
      <c r="E56" s="17" t="s">
        <v>515</v>
      </c>
      <c r="F56" s="17" t="str">
        <f>"0,8859"</f>
        <v>0,8859</v>
      </c>
      <c r="G56" s="17" t="s">
        <v>31</v>
      </c>
      <c r="H56" s="17" t="s">
        <v>516</v>
      </c>
      <c r="I56" s="46" t="s">
        <v>71</v>
      </c>
      <c r="J56" s="138" t="s">
        <v>71</v>
      </c>
      <c r="K56" s="46" t="s">
        <v>421</v>
      </c>
      <c r="L56" s="36"/>
      <c r="M56" s="44">
        <v>45</v>
      </c>
      <c r="N56" s="35" t="str">
        <f>"39,8655"</f>
        <v>39,8655</v>
      </c>
      <c r="O56" s="17" t="s">
        <v>2061</v>
      </c>
    </row>
    <row r="57" spans="1:15" ht="12.75">
      <c r="A57" s="29">
        <v>1</v>
      </c>
      <c r="B57" s="469"/>
      <c r="C57" s="19" t="s">
        <v>4281</v>
      </c>
      <c r="D57" s="19" t="s">
        <v>517</v>
      </c>
      <c r="E57" s="19" t="s">
        <v>450</v>
      </c>
      <c r="F57" s="19" t="str">
        <f>"0,8662"</f>
        <v>0,8662</v>
      </c>
      <c r="G57" s="19" t="s">
        <v>31</v>
      </c>
      <c r="H57" s="19" t="s">
        <v>347</v>
      </c>
      <c r="I57" s="139" t="s">
        <v>446</v>
      </c>
      <c r="J57" s="139" t="s">
        <v>88</v>
      </c>
      <c r="K57" s="48" t="s">
        <v>139</v>
      </c>
      <c r="L57" s="42"/>
      <c r="M57" s="43">
        <v>120</v>
      </c>
      <c r="N57" s="41" t="str">
        <f>"103,9440"</f>
        <v>103,9440</v>
      </c>
      <c r="O57" s="19" t="s">
        <v>2062</v>
      </c>
    </row>
    <row r="58" ht="12.75">
      <c r="B58" s="470"/>
    </row>
    <row r="59" spans="2:14" ht="15.75">
      <c r="B59" s="469"/>
      <c r="C59" s="541" t="s">
        <v>18</v>
      </c>
      <c r="D59" s="541"/>
      <c r="E59" s="541"/>
      <c r="F59" s="541"/>
      <c r="G59" s="541"/>
      <c r="H59" s="541"/>
      <c r="I59" s="541"/>
      <c r="J59" s="541"/>
      <c r="K59" s="541"/>
      <c r="L59" s="541"/>
      <c r="M59" s="541"/>
      <c r="N59" s="541"/>
    </row>
    <row r="60" spans="1:15" ht="12.75">
      <c r="A60" s="29">
        <v>1</v>
      </c>
      <c r="B60" s="469"/>
      <c r="C60" s="17" t="s">
        <v>4282</v>
      </c>
      <c r="D60" s="17" t="s">
        <v>518</v>
      </c>
      <c r="E60" s="17" t="s">
        <v>519</v>
      </c>
      <c r="F60" s="17" t="str">
        <f>"0,8035"</f>
        <v>0,8035</v>
      </c>
      <c r="G60" s="17" t="s">
        <v>31</v>
      </c>
      <c r="H60" s="83" t="s">
        <v>119</v>
      </c>
      <c r="I60" s="107" t="s">
        <v>94</v>
      </c>
      <c r="J60" s="138" t="s">
        <v>416</v>
      </c>
      <c r="K60" s="121" t="s">
        <v>57</v>
      </c>
      <c r="L60" s="101"/>
      <c r="M60" s="44">
        <v>70</v>
      </c>
      <c r="N60" s="35" t="str">
        <f>"56,2450"</f>
        <v>56,2450</v>
      </c>
      <c r="O60" s="17" t="s">
        <v>2063</v>
      </c>
    </row>
    <row r="61" spans="1:15" ht="12.75">
      <c r="A61" s="29">
        <v>2</v>
      </c>
      <c r="B61" s="469">
        <v>9</v>
      </c>
      <c r="C61" s="18" t="s">
        <v>4283</v>
      </c>
      <c r="D61" s="18" t="s">
        <v>91</v>
      </c>
      <c r="E61" s="18" t="s">
        <v>92</v>
      </c>
      <c r="F61" s="18" t="str">
        <f>"0,7823"</f>
        <v>0,7823</v>
      </c>
      <c r="G61" s="18" t="s">
        <v>2104</v>
      </c>
      <c r="H61" s="92" t="s">
        <v>1903</v>
      </c>
      <c r="I61" s="143" t="s">
        <v>419</v>
      </c>
      <c r="J61" s="140" t="s">
        <v>457</v>
      </c>
      <c r="K61" s="149" t="s">
        <v>424</v>
      </c>
      <c r="L61" s="102"/>
      <c r="M61" s="40">
        <v>62.5</v>
      </c>
      <c r="N61" s="38" t="str">
        <f>"48,8937"</f>
        <v>48,8937</v>
      </c>
      <c r="O61" s="18" t="s">
        <v>2064</v>
      </c>
    </row>
    <row r="62" spans="1:15" ht="12.75">
      <c r="A62" s="29">
        <v>1</v>
      </c>
      <c r="B62" s="469">
        <v>12</v>
      </c>
      <c r="C62" s="18" t="s">
        <v>4284</v>
      </c>
      <c r="D62" s="18" t="s">
        <v>520</v>
      </c>
      <c r="E62" s="18" t="s">
        <v>521</v>
      </c>
      <c r="F62" s="18" t="str">
        <f>"0,7852"</f>
        <v>0,7852</v>
      </c>
      <c r="G62" s="18" t="s">
        <v>3567</v>
      </c>
      <c r="H62" s="92" t="s">
        <v>522</v>
      </c>
      <c r="I62" s="143" t="s">
        <v>446</v>
      </c>
      <c r="J62" s="140" t="s">
        <v>88</v>
      </c>
      <c r="K62" s="103" t="s">
        <v>100</v>
      </c>
      <c r="L62" s="102"/>
      <c r="M62" s="40">
        <v>120</v>
      </c>
      <c r="N62" s="38" t="str">
        <f>"94,2240"</f>
        <v>94,2240</v>
      </c>
      <c r="O62" s="18" t="s">
        <v>51</v>
      </c>
    </row>
    <row r="63" spans="1:15" ht="12.75">
      <c r="A63" s="29">
        <v>2</v>
      </c>
      <c r="B63" s="469">
        <v>9</v>
      </c>
      <c r="C63" s="18" t="s">
        <v>4285</v>
      </c>
      <c r="D63" s="18" t="s">
        <v>523</v>
      </c>
      <c r="E63" s="18" t="s">
        <v>92</v>
      </c>
      <c r="F63" s="18" t="str">
        <f>"0,7823"</f>
        <v>0,7823</v>
      </c>
      <c r="G63" s="18" t="s">
        <v>148</v>
      </c>
      <c r="H63" s="92" t="s">
        <v>524</v>
      </c>
      <c r="I63" s="143" t="s">
        <v>446</v>
      </c>
      <c r="J63" s="140" t="s">
        <v>88</v>
      </c>
      <c r="K63" s="103" t="s">
        <v>447</v>
      </c>
      <c r="L63" s="102"/>
      <c r="M63" s="40">
        <v>120</v>
      </c>
      <c r="N63" s="38" t="str">
        <f>"93,8760"</f>
        <v>93,8760</v>
      </c>
      <c r="O63" s="18" t="s">
        <v>2065</v>
      </c>
    </row>
    <row r="64" spans="1:15" ht="12.75">
      <c r="A64" s="29">
        <v>3</v>
      </c>
      <c r="B64" s="469"/>
      <c r="C64" s="18" t="s">
        <v>4286</v>
      </c>
      <c r="D64" s="18" t="s">
        <v>526</v>
      </c>
      <c r="E64" s="18" t="s">
        <v>527</v>
      </c>
      <c r="F64" s="18" t="str">
        <f>"0,7785"</f>
        <v>0,7785</v>
      </c>
      <c r="G64" s="18" t="s">
        <v>31</v>
      </c>
      <c r="H64" s="92" t="s">
        <v>1903</v>
      </c>
      <c r="I64" s="143" t="s">
        <v>528</v>
      </c>
      <c r="J64" s="47" t="s">
        <v>139</v>
      </c>
      <c r="K64" s="103" t="s">
        <v>447</v>
      </c>
      <c r="L64" s="102"/>
      <c r="M64" s="40">
        <v>117.5</v>
      </c>
      <c r="N64" s="38" t="str">
        <f>"91,4738"</f>
        <v>91,4738</v>
      </c>
      <c r="O64" s="18" t="s">
        <v>51</v>
      </c>
    </row>
    <row r="65" spans="1:15" ht="12.75">
      <c r="A65" s="29">
        <v>4</v>
      </c>
      <c r="B65" s="469">
        <v>7</v>
      </c>
      <c r="C65" s="18" t="s">
        <v>4160</v>
      </c>
      <c r="D65" s="18" t="s">
        <v>529</v>
      </c>
      <c r="E65" s="18" t="s">
        <v>530</v>
      </c>
      <c r="F65" s="18" t="str">
        <f>"0,7901"</f>
        <v>0,7901</v>
      </c>
      <c r="G65" s="18" t="s">
        <v>130</v>
      </c>
      <c r="H65" s="92" t="s">
        <v>1903</v>
      </c>
      <c r="I65" s="143" t="s">
        <v>544</v>
      </c>
      <c r="J65" s="47" t="s">
        <v>446</v>
      </c>
      <c r="K65" s="103" t="s">
        <v>446</v>
      </c>
      <c r="L65" s="102"/>
      <c r="M65" s="52">
        <v>112.5</v>
      </c>
      <c r="N65" s="38" t="s">
        <v>2206</v>
      </c>
      <c r="O65" s="18" t="s">
        <v>1702</v>
      </c>
    </row>
    <row r="66" spans="2:15" ht="12.75">
      <c r="B66" s="469"/>
      <c r="C66" s="18" t="s">
        <v>3257</v>
      </c>
      <c r="D66" s="18" t="s">
        <v>3258</v>
      </c>
      <c r="E66" s="11" t="s">
        <v>98</v>
      </c>
      <c r="F66" s="11" t="str">
        <f>"0,7710"</f>
        <v>0,7710</v>
      </c>
      <c r="G66" s="18" t="s">
        <v>31</v>
      </c>
      <c r="H66" s="92" t="s">
        <v>1903</v>
      </c>
      <c r="I66" s="47" t="s">
        <v>25</v>
      </c>
      <c r="J66" s="103" t="s">
        <v>25</v>
      </c>
      <c r="K66" s="47"/>
      <c r="L66" s="103"/>
      <c r="M66" s="52">
        <v>0</v>
      </c>
      <c r="N66" s="38" t="s">
        <v>1639</v>
      </c>
      <c r="O66" s="18" t="s">
        <v>51</v>
      </c>
    </row>
    <row r="67" spans="1:15" ht="12.75">
      <c r="A67" s="29">
        <v>1</v>
      </c>
      <c r="B67" s="469">
        <v>12</v>
      </c>
      <c r="C67" s="18" t="s">
        <v>4284</v>
      </c>
      <c r="D67" s="18" t="s">
        <v>531</v>
      </c>
      <c r="E67" s="18" t="s">
        <v>521</v>
      </c>
      <c r="F67" s="18" t="str">
        <f>"0,7852"</f>
        <v>0,7852</v>
      </c>
      <c r="G67" s="18" t="s">
        <v>3567</v>
      </c>
      <c r="H67" s="92" t="s">
        <v>522</v>
      </c>
      <c r="I67" s="143" t="s">
        <v>446</v>
      </c>
      <c r="J67" s="140" t="s">
        <v>88</v>
      </c>
      <c r="K67" s="103" t="s">
        <v>100</v>
      </c>
      <c r="L67" s="102"/>
      <c r="M67" s="40">
        <v>120</v>
      </c>
      <c r="N67" s="425" t="s">
        <v>4095</v>
      </c>
      <c r="O67" s="18" t="s">
        <v>51</v>
      </c>
    </row>
    <row r="68" spans="1:15" ht="12.75">
      <c r="A68" s="29">
        <v>1</v>
      </c>
      <c r="B68" s="469"/>
      <c r="C68" s="19" t="s">
        <v>4163</v>
      </c>
      <c r="D68" s="19" t="s">
        <v>533</v>
      </c>
      <c r="E68" s="19" t="s">
        <v>30</v>
      </c>
      <c r="F68" s="19" t="str">
        <f>"0,7756"</f>
        <v>0,7756</v>
      </c>
      <c r="G68" s="19" t="s">
        <v>31</v>
      </c>
      <c r="H68" s="94" t="s">
        <v>1903</v>
      </c>
      <c r="I68" s="144" t="s">
        <v>451</v>
      </c>
      <c r="J68" s="139" t="s">
        <v>452</v>
      </c>
      <c r="K68" s="112" t="s">
        <v>471</v>
      </c>
      <c r="L68" s="109"/>
      <c r="M68" s="43">
        <v>102.5</v>
      </c>
      <c r="N68" s="41" t="str">
        <f>"116,8635"</f>
        <v>116,8635</v>
      </c>
      <c r="O68" s="19" t="s">
        <v>1826</v>
      </c>
    </row>
    <row r="69" ht="12.75">
      <c r="B69" s="470"/>
    </row>
    <row r="70" spans="2:14" ht="15.75">
      <c r="B70" s="469"/>
      <c r="C70" s="541" t="s">
        <v>42</v>
      </c>
      <c r="D70" s="541"/>
      <c r="E70" s="541"/>
      <c r="F70" s="541"/>
      <c r="G70" s="541"/>
      <c r="H70" s="541"/>
      <c r="I70" s="541"/>
      <c r="J70" s="541"/>
      <c r="K70" s="541"/>
      <c r="L70" s="541"/>
      <c r="M70" s="541"/>
      <c r="N70" s="541"/>
    </row>
    <row r="71" spans="1:15" ht="12.75">
      <c r="A71" s="29">
        <v>1</v>
      </c>
      <c r="B71" s="469"/>
      <c r="C71" s="83" t="s">
        <v>4287</v>
      </c>
      <c r="D71" s="83" t="s">
        <v>539</v>
      </c>
      <c r="E71" s="83" t="s">
        <v>540</v>
      </c>
      <c r="F71" s="83" t="str">
        <f>"0,7235"</f>
        <v>0,7235</v>
      </c>
      <c r="G71" s="83" t="s">
        <v>31</v>
      </c>
      <c r="H71" s="83" t="s">
        <v>196</v>
      </c>
      <c r="I71" s="142" t="s">
        <v>528</v>
      </c>
      <c r="J71" s="46" t="s">
        <v>139</v>
      </c>
      <c r="K71" s="85" t="s">
        <v>139</v>
      </c>
      <c r="L71" s="170"/>
      <c r="M71" s="37">
        <v>117.5</v>
      </c>
      <c r="N71" s="87" t="s">
        <v>2207</v>
      </c>
      <c r="O71" s="17" t="s">
        <v>2066</v>
      </c>
    </row>
    <row r="72" spans="1:15" ht="12.75">
      <c r="A72" s="29">
        <v>2</v>
      </c>
      <c r="B72" s="469"/>
      <c r="C72" s="92" t="s">
        <v>4288</v>
      </c>
      <c r="D72" s="92" t="s">
        <v>535</v>
      </c>
      <c r="E72" s="92" t="s">
        <v>53</v>
      </c>
      <c r="F72" s="92" t="str">
        <f>"0,7207"</f>
        <v>0,7207</v>
      </c>
      <c r="G72" s="92" t="s">
        <v>31</v>
      </c>
      <c r="H72" s="92" t="s">
        <v>1903</v>
      </c>
      <c r="I72" s="127" t="s">
        <v>528</v>
      </c>
      <c r="J72" s="140" t="s">
        <v>528</v>
      </c>
      <c r="K72" s="80" t="s">
        <v>88</v>
      </c>
      <c r="L72" s="105"/>
      <c r="M72" s="40">
        <v>117.5</v>
      </c>
      <c r="N72" s="82" t="str">
        <f>"84,6823"</f>
        <v>84,6823</v>
      </c>
      <c r="O72" s="18" t="s">
        <v>51</v>
      </c>
    </row>
    <row r="73" spans="1:15" ht="12.75">
      <c r="A73" s="29">
        <v>3</v>
      </c>
      <c r="B73" s="469">
        <v>8</v>
      </c>
      <c r="C73" s="92" t="s">
        <v>4165</v>
      </c>
      <c r="D73" s="92" t="s">
        <v>536</v>
      </c>
      <c r="E73" s="92" t="s">
        <v>537</v>
      </c>
      <c r="F73" s="92" t="str">
        <f>"0,7264"</f>
        <v>0,7264</v>
      </c>
      <c r="G73" s="92" t="s">
        <v>130</v>
      </c>
      <c r="H73" s="92" t="s">
        <v>1903</v>
      </c>
      <c r="I73" s="143" t="s">
        <v>666</v>
      </c>
      <c r="J73" s="47" t="s">
        <v>513</v>
      </c>
      <c r="K73" s="240" t="s">
        <v>513</v>
      </c>
      <c r="L73" s="105"/>
      <c r="M73" s="40">
        <v>82.5</v>
      </c>
      <c r="N73" s="82" t="str">
        <f>"59,9280"</f>
        <v>59,9280</v>
      </c>
      <c r="O73" s="18" t="s">
        <v>1827</v>
      </c>
    </row>
    <row r="74" spans="2:15" ht="12.75">
      <c r="B74" s="469"/>
      <c r="C74" s="92" t="s">
        <v>541</v>
      </c>
      <c r="D74" s="92" t="s">
        <v>542</v>
      </c>
      <c r="E74" s="92" t="s">
        <v>543</v>
      </c>
      <c r="F74" s="92" t="str">
        <f>"0,7159"</f>
        <v>0,7159</v>
      </c>
      <c r="G74" s="92" t="s">
        <v>31</v>
      </c>
      <c r="H74" s="92" t="s">
        <v>347</v>
      </c>
      <c r="I74" s="127" t="s">
        <v>544</v>
      </c>
      <c r="J74" s="47" t="s">
        <v>544</v>
      </c>
      <c r="K74" s="80" t="s">
        <v>528</v>
      </c>
      <c r="L74" s="105"/>
      <c r="M74" s="52">
        <v>0</v>
      </c>
      <c r="N74" s="82" t="s">
        <v>1639</v>
      </c>
      <c r="O74" s="18" t="s">
        <v>51</v>
      </c>
    </row>
    <row r="75" spans="1:15" ht="12.75">
      <c r="A75" s="29">
        <v>1</v>
      </c>
      <c r="B75" s="469">
        <v>30</v>
      </c>
      <c r="C75" s="92" t="s">
        <v>4266</v>
      </c>
      <c r="D75" s="92" t="s">
        <v>546</v>
      </c>
      <c r="E75" s="92" t="s">
        <v>543</v>
      </c>
      <c r="F75" s="92" t="str">
        <f>"0,7159"</f>
        <v>0,7159</v>
      </c>
      <c r="G75" s="92" t="s">
        <v>22</v>
      </c>
      <c r="H75" s="92" t="s">
        <v>196</v>
      </c>
      <c r="I75" s="143" t="s">
        <v>132</v>
      </c>
      <c r="J75" s="140" t="s">
        <v>76</v>
      </c>
      <c r="K75" s="80" t="s">
        <v>77</v>
      </c>
      <c r="L75" s="105"/>
      <c r="M75" s="40">
        <v>157.5</v>
      </c>
      <c r="N75" s="82" t="str">
        <f>"112,7543"</f>
        <v>112,7543</v>
      </c>
      <c r="O75" s="18" t="s">
        <v>51</v>
      </c>
    </row>
    <row r="76" spans="1:15" ht="12.75">
      <c r="A76" s="29">
        <v>2</v>
      </c>
      <c r="B76" s="469"/>
      <c r="C76" s="92" t="s">
        <v>4289</v>
      </c>
      <c r="D76" s="92" t="s">
        <v>549</v>
      </c>
      <c r="E76" s="92" t="s">
        <v>550</v>
      </c>
      <c r="F76" s="92" t="str">
        <f>"0,7278"</f>
        <v>0,7278</v>
      </c>
      <c r="G76" s="92" t="s">
        <v>31</v>
      </c>
      <c r="H76" s="92" t="s">
        <v>196</v>
      </c>
      <c r="I76" s="143" t="s">
        <v>100</v>
      </c>
      <c r="J76" s="47" t="s">
        <v>89</v>
      </c>
      <c r="K76" s="80" t="s">
        <v>551</v>
      </c>
      <c r="L76" s="105"/>
      <c r="M76" s="52">
        <v>127.5</v>
      </c>
      <c r="N76" s="82" t="s">
        <v>2196</v>
      </c>
      <c r="O76" s="18" t="s">
        <v>51</v>
      </c>
    </row>
    <row r="77" spans="1:15" ht="12.75">
      <c r="A77" s="29">
        <v>3</v>
      </c>
      <c r="B77" s="469"/>
      <c r="C77" s="92" t="s">
        <v>4290</v>
      </c>
      <c r="D77" s="92" t="s">
        <v>547</v>
      </c>
      <c r="E77" s="92" t="s">
        <v>548</v>
      </c>
      <c r="F77" s="92" t="str">
        <f>"0,7561"</f>
        <v>0,7561</v>
      </c>
      <c r="G77" s="92" t="s">
        <v>31</v>
      </c>
      <c r="H77" s="92" t="s">
        <v>143</v>
      </c>
      <c r="I77" s="143" t="s">
        <v>544</v>
      </c>
      <c r="J77" s="140" t="s">
        <v>528</v>
      </c>
      <c r="K77" s="80" t="s">
        <v>447</v>
      </c>
      <c r="L77" s="105"/>
      <c r="M77" s="40">
        <v>117.5</v>
      </c>
      <c r="N77" s="82" t="str">
        <f>"88,8417"</f>
        <v>88,8417</v>
      </c>
      <c r="O77" s="18" t="s">
        <v>2067</v>
      </c>
    </row>
    <row r="78" spans="1:15" ht="12.75">
      <c r="A78" s="29">
        <v>1</v>
      </c>
      <c r="B78" s="469">
        <v>30</v>
      </c>
      <c r="C78" s="92" t="s">
        <v>4291</v>
      </c>
      <c r="D78" s="92" t="s">
        <v>552</v>
      </c>
      <c r="E78" s="92" t="s">
        <v>553</v>
      </c>
      <c r="F78" s="92" t="str">
        <f>"0,7132"</f>
        <v>0,7132</v>
      </c>
      <c r="G78" s="92" t="s">
        <v>125</v>
      </c>
      <c r="H78" s="92" t="s">
        <v>554</v>
      </c>
      <c r="I78" s="143" t="s">
        <v>183</v>
      </c>
      <c r="J78" s="140" t="s">
        <v>555</v>
      </c>
      <c r="K78" s="240" t="s">
        <v>269</v>
      </c>
      <c r="L78" s="105"/>
      <c r="M78" s="40">
        <v>177.5</v>
      </c>
      <c r="N78" s="82" t="str">
        <f>"126,5930"</f>
        <v>126,5930</v>
      </c>
      <c r="O78" s="18" t="s">
        <v>51</v>
      </c>
    </row>
    <row r="79" spans="1:15" ht="12.75">
      <c r="A79" s="29">
        <v>2</v>
      </c>
      <c r="B79" s="469"/>
      <c r="C79" s="92" t="s">
        <v>4292</v>
      </c>
      <c r="D79" s="92" t="s">
        <v>556</v>
      </c>
      <c r="E79" s="92" t="s">
        <v>45</v>
      </c>
      <c r="F79" s="92" t="str">
        <f>"0,7186"</f>
        <v>0,7186</v>
      </c>
      <c r="G79" s="92" t="s">
        <v>31</v>
      </c>
      <c r="H79" s="92" t="s">
        <v>2252</v>
      </c>
      <c r="I79" s="143" t="s">
        <v>64</v>
      </c>
      <c r="J79" s="140" t="s">
        <v>183</v>
      </c>
      <c r="K79" s="80" t="s">
        <v>555</v>
      </c>
      <c r="L79" s="105"/>
      <c r="M79" s="40">
        <v>165</v>
      </c>
      <c r="N79" s="82" t="str">
        <f>"118,5690"</f>
        <v>118,5690</v>
      </c>
      <c r="O79" s="18" t="s">
        <v>557</v>
      </c>
    </row>
    <row r="80" spans="1:15" ht="12.75">
      <c r="A80" s="29">
        <v>3</v>
      </c>
      <c r="B80" s="469">
        <v>26</v>
      </c>
      <c r="C80" s="92" t="s">
        <v>4266</v>
      </c>
      <c r="D80" s="92" t="s">
        <v>558</v>
      </c>
      <c r="E80" s="92" t="s">
        <v>543</v>
      </c>
      <c r="F80" s="92" t="str">
        <f>"0,7159"</f>
        <v>0,7159</v>
      </c>
      <c r="G80" s="92" t="s">
        <v>22</v>
      </c>
      <c r="H80" s="92" t="s">
        <v>196</v>
      </c>
      <c r="I80" s="143" t="s">
        <v>132</v>
      </c>
      <c r="J80" s="140" t="s">
        <v>76</v>
      </c>
      <c r="K80" s="80" t="s">
        <v>77</v>
      </c>
      <c r="L80" s="105"/>
      <c r="M80" s="40">
        <v>157.5</v>
      </c>
      <c r="N80" s="82" t="str">
        <f>"112,7543"</f>
        <v>112,7543</v>
      </c>
      <c r="O80" s="18" t="s">
        <v>51</v>
      </c>
    </row>
    <row r="81" spans="1:15" ht="12.75">
      <c r="A81" s="29">
        <v>4</v>
      </c>
      <c r="B81" s="469">
        <v>19</v>
      </c>
      <c r="C81" s="92" t="s">
        <v>3991</v>
      </c>
      <c r="D81" s="92" t="s">
        <v>566</v>
      </c>
      <c r="E81" s="92" t="s">
        <v>567</v>
      </c>
      <c r="F81" s="92" t="str">
        <f>"0,7256"</f>
        <v>0,7256</v>
      </c>
      <c r="G81" s="92" t="s">
        <v>301</v>
      </c>
      <c r="H81" s="92" t="s">
        <v>302</v>
      </c>
      <c r="I81" s="143" t="s">
        <v>131</v>
      </c>
      <c r="J81" s="47" t="s">
        <v>132</v>
      </c>
      <c r="K81" s="80" t="s">
        <v>132</v>
      </c>
      <c r="L81" s="105"/>
      <c r="M81" s="40">
        <v>145</v>
      </c>
      <c r="N81" s="82" t="s">
        <v>2197</v>
      </c>
      <c r="O81" s="18" t="s">
        <v>2070</v>
      </c>
    </row>
    <row r="82" spans="1:15" ht="12.75">
      <c r="A82" s="29">
        <v>5</v>
      </c>
      <c r="B82" s="469"/>
      <c r="C82" s="92" t="s">
        <v>4293</v>
      </c>
      <c r="D82" s="92" t="s">
        <v>559</v>
      </c>
      <c r="E82" s="92" t="s">
        <v>490</v>
      </c>
      <c r="F82" s="92" t="str">
        <f>"0,7221"</f>
        <v>0,7221</v>
      </c>
      <c r="G82" s="92" t="s">
        <v>31</v>
      </c>
      <c r="H82" s="92" t="s">
        <v>1903</v>
      </c>
      <c r="I82" s="143" t="s">
        <v>447</v>
      </c>
      <c r="J82" s="140" t="s">
        <v>551</v>
      </c>
      <c r="K82" s="80" t="s">
        <v>480</v>
      </c>
      <c r="L82" s="105"/>
      <c r="M82" s="40">
        <v>135</v>
      </c>
      <c r="N82" s="82" t="str">
        <f>"97,4835"</f>
        <v>97,4835</v>
      </c>
      <c r="O82" s="18" t="s">
        <v>51</v>
      </c>
    </row>
    <row r="83" spans="1:15" ht="12.75">
      <c r="A83" s="29">
        <v>6</v>
      </c>
      <c r="B83" s="469"/>
      <c r="C83" s="92" t="s">
        <v>4294</v>
      </c>
      <c r="D83" s="92" t="s">
        <v>560</v>
      </c>
      <c r="E83" s="92" t="s">
        <v>561</v>
      </c>
      <c r="F83" s="92" t="str">
        <f>"0,7152"</f>
        <v>0,7152</v>
      </c>
      <c r="G83" s="92" t="s">
        <v>31</v>
      </c>
      <c r="H83" s="92" t="s">
        <v>347</v>
      </c>
      <c r="I83" s="143" t="s">
        <v>89</v>
      </c>
      <c r="J83" s="140" t="s">
        <v>551</v>
      </c>
      <c r="K83" s="81"/>
      <c r="L83" s="105"/>
      <c r="M83" s="40">
        <v>135</v>
      </c>
      <c r="N83" s="82" t="str">
        <f>"96,5520"</f>
        <v>96,5520</v>
      </c>
      <c r="O83" s="18" t="s">
        <v>2068</v>
      </c>
    </row>
    <row r="84" spans="1:15" ht="12.75">
      <c r="A84" s="29">
        <v>7</v>
      </c>
      <c r="B84" s="469">
        <v>16</v>
      </c>
      <c r="C84" s="92" t="s">
        <v>4295</v>
      </c>
      <c r="D84" s="92" t="s">
        <v>562</v>
      </c>
      <c r="E84" s="92" t="s">
        <v>553</v>
      </c>
      <c r="F84" s="92" t="str">
        <f>"0,7132"</f>
        <v>0,7132</v>
      </c>
      <c r="G84" s="92" t="s">
        <v>125</v>
      </c>
      <c r="H84" s="92" t="s">
        <v>554</v>
      </c>
      <c r="I84" s="143" t="s">
        <v>551</v>
      </c>
      <c r="J84" s="47" t="s">
        <v>136</v>
      </c>
      <c r="K84" s="80" t="s">
        <v>136</v>
      </c>
      <c r="L84" s="105"/>
      <c r="M84" s="40">
        <v>135</v>
      </c>
      <c r="N84" s="82" t="str">
        <f>"96,2820"</f>
        <v>96,2820</v>
      </c>
      <c r="O84" s="18" t="s">
        <v>2069</v>
      </c>
    </row>
    <row r="85" spans="1:15" ht="12.75">
      <c r="A85" s="29">
        <v>8</v>
      </c>
      <c r="B85" s="469"/>
      <c r="C85" s="92" t="s">
        <v>4296</v>
      </c>
      <c r="D85" s="92" t="s">
        <v>563</v>
      </c>
      <c r="E85" s="92" t="s">
        <v>564</v>
      </c>
      <c r="F85" s="92" t="str">
        <f>"0,7437"</f>
        <v>0,7437</v>
      </c>
      <c r="G85" s="92" t="s">
        <v>31</v>
      </c>
      <c r="H85" s="92" t="s">
        <v>1903</v>
      </c>
      <c r="I85" s="143" t="s">
        <v>528</v>
      </c>
      <c r="J85" s="140" t="s">
        <v>139</v>
      </c>
      <c r="K85" s="80" t="s">
        <v>100</v>
      </c>
      <c r="L85" s="105"/>
      <c r="M85" s="40">
        <v>122.5</v>
      </c>
      <c r="N85" s="82" t="str">
        <f>"91,1033"</f>
        <v>91,1033</v>
      </c>
      <c r="O85" s="18" t="s">
        <v>51</v>
      </c>
    </row>
    <row r="86" spans="1:15" ht="12.75">
      <c r="A86" s="29">
        <v>9</v>
      </c>
      <c r="B86" s="469"/>
      <c r="C86" s="92" t="s">
        <v>4297</v>
      </c>
      <c r="D86" s="92" t="s">
        <v>3278</v>
      </c>
      <c r="E86" s="266" t="s">
        <v>115</v>
      </c>
      <c r="F86" s="266" t="str">
        <f>"0,7345"</f>
        <v>0,7345</v>
      </c>
      <c r="G86" s="92" t="s">
        <v>31</v>
      </c>
      <c r="H86" s="92" t="s">
        <v>3277</v>
      </c>
      <c r="I86" s="143" t="s">
        <v>544</v>
      </c>
      <c r="J86" s="140" t="s">
        <v>528</v>
      </c>
      <c r="K86" s="240" t="s">
        <v>139</v>
      </c>
      <c r="L86" s="105"/>
      <c r="M86" s="40">
        <v>122.5</v>
      </c>
      <c r="N86" s="82" t="s">
        <v>3279</v>
      </c>
      <c r="O86" s="18" t="s">
        <v>51</v>
      </c>
    </row>
    <row r="87" spans="1:15" ht="12.75">
      <c r="A87" s="29">
        <v>10</v>
      </c>
      <c r="B87" s="469"/>
      <c r="C87" s="92" t="s">
        <v>4298</v>
      </c>
      <c r="D87" s="92" t="s">
        <v>565</v>
      </c>
      <c r="E87" s="92" t="s">
        <v>53</v>
      </c>
      <c r="F87" s="92" t="str">
        <f>"0,7207"</f>
        <v>0,7207</v>
      </c>
      <c r="G87" s="92" t="s">
        <v>31</v>
      </c>
      <c r="H87" s="92" t="s">
        <v>1903</v>
      </c>
      <c r="I87" s="143" t="s">
        <v>25</v>
      </c>
      <c r="J87" s="140" t="s">
        <v>528</v>
      </c>
      <c r="K87" s="80" t="s">
        <v>100</v>
      </c>
      <c r="L87" s="105"/>
      <c r="M87" s="40">
        <v>117.5</v>
      </c>
      <c r="N87" s="82" t="str">
        <f>"84,6823"</f>
        <v>84,6823</v>
      </c>
      <c r="O87" s="18" t="s">
        <v>51</v>
      </c>
    </row>
    <row r="88" spans="2:15" ht="12.75">
      <c r="B88" s="469"/>
      <c r="C88" s="92" t="s">
        <v>568</v>
      </c>
      <c r="D88" s="92" t="s">
        <v>569</v>
      </c>
      <c r="E88" s="92" t="s">
        <v>543</v>
      </c>
      <c r="F88" s="92" t="str">
        <f>"0,7159"</f>
        <v>0,7159</v>
      </c>
      <c r="G88" s="92" t="s">
        <v>31</v>
      </c>
      <c r="H88" s="92" t="s">
        <v>570</v>
      </c>
      <c r="I88" s="127" t="s">
        <v>528</v>
      </c>
      <c r="J88" s="47" t="s">
        <v>528</v>
      </c>
      <c r="K88" s="80" t="s">
        <v>528</v>
      </c>
      <c r="L88" s="105"/>
      <c r="M88" s="52">
        <v>0</v>
      </c>
      <c r="N88" s="82" t="s">
        <v>1639</v>
      </c>
      <c r="O88" s="18" t="s">
        <v>51</v>
      </c>
    </row>
    <row r="89" spans="2:15" ht="12.75">
      <c r="B89" s="469"/>
      <c r="C89" s="92" t="s">
        <v>3259</v>
      </c>
      <c r="D89" s="266" t="s">
        <v>3260</v>
      </c>
      <c r="E89" s="92" t="s">
        <v>807</v>
      </c>
      <c r="F89" s="92" t="str">
        <f>"0,9587"</f>
        <v>0,9587</v>
      </c>
      <c r="G89" s="92" t="s">
        <v>31</v>
      </c>
      <c r="H89" s="92" t="s">
        <v>1903</v>
      </c>
      <c r="I89" s="127" t="s">
        <v>544</v>
      </c>
      <c r="J89" s="47" t="s">
        <v>528</v>
      </c>
      <c r="K89" s="80"/>
      <c r="L89" s="105"/>
      <c r="M89" s="52">
        <v>0</v>
      </c>
      <c r="N89" s="82" t="s">
        <v>1639</v>
      </c>
      <c r="O89" s="18" t="s">
        <v>51</v>
      </c>
    </row>
    <row r="90" spans="1:15" ht="12.75">
      <c r="A90" s="29">
        <v>1</v>
      </c>
      <c r="B90" s="469">
        <v>30</v>
      </c>
      <c r="C90" s="94" t="s">
        <v>4299</v>
      </c>
      <c r="D90" s="94" t="s">
        <v>571</v>
      </c>
      <c r="E90" s="94" t="s">
        <v>572</v>
      </c>
      <c r="F90" s="94" t="str">
        <f>"0,7249"</f>
        <v>0,7249</v>
      </c>
      <c r="G90" s="94" t="s">
        <v>130</v>
      </c>
      <c r="H90" s="94" t="s">
        <v>2249</v>
      </c>
      <c r="I90" s="144" t="s">
        <v>132</v>
      </c>
      <c r="J90" s="139" t="s">
        <v>63</v>
      </c>
      <c r="K90" s="148" t="s">
        <v>76</v>
      </c>
      <c r="L90" s="158"/>
      <c r="M90" s="43">
        <v>157.5</v>
      </c>
      <c r="N90" s="100" t="str">
        <f>"117,3686"</f>
        <v>117,3686</v>
      </c>
      <c r="O90" s="19" t="s">
        <v>51</v>
      </c>
    </row>
    <row r="91" ht="12.75">
      <c r="B91" s="470"/>
    </row>
    <row r="92" spans="2:14" ht="15.75">
      <c r="B92" s="469"/>
      <c r="C92" s="541" t="s">
        <v>116</v>
      </c>
      <c r="D92" s="541"/>
      <c r="E92" s="541"/>
      <c r="F92" s="541"/>
      <c r="G92" s="541"/>
      <c r="H92" s="541"/>
      <c r="I92" s="541"/>
      <c r="J92" s="541"/>
      <c r="K92" s="541"/>
      <c r="L92" s="541"/>
      <c r="M92" s="541"/>
      <c r="N92" s="541"/>
    </row>
    <row r="93" spans="1:15" ht="12.75">
      <c r="A93" s="29">
        <v>1</v>
      </c>
      <c r="B93" s="469">
        <v>24</v>
      </c>
      <c r="C93" s="17" t="s">
        <v>4300</v>
      </c>
      <c r="D93" s="83" t="s">
        <v>575</v>
      </c>
      <c r="E93" s="83" t="s">
        <v>124</v>
      </c>
      <c r="F93" s="17" t="str">
        <f>"0,6785"</f>
        <v>0,6785</v>
      </c>
      <c r="G93" s="88" t="s">
        <v>148</v>
      </c>
      <c r="H93" s="17" t="s">
        <v>2905</v>
      </c>
      <c r="I93" s="138" t="s">
        <v>131</v>
      </c>
      <c r="J93" s="46" t="s">
        <v>132</v>
      </c>
      <c r="K93" s="46" t="s">
        <v>132</v>
      </c>
      <c r="L93" s="36"/>
      <c r="M93" s="44">
        <v>145</v>
      </c>
      <c r="N93" s="35" t="str">
        <f>"98,3825"</f>
        <v>98,3825</v>
      </c>
      <c r="O93" s="17" t="s">
        <v>321</v>
      </c>
    </row>
    <row r="94" spans="1:15" ht="12.75">
      <c r="A94" s="29">
        <v>2</v>
      </c>
      <c r="B94" s="469"/>
      <c r="C94" s="18" t="s">
        <v>4301</v>
      </c>
      <c r="D94" s="92" t="s">
        <v>576</v>
      </c>
      <c r="E94" s="92" t="s">
        <v>577</v>
      </c>
      <c r="F94" s="18" t="str">
        <f>"0,6699"</f>
        <v>0,6699</v>
      </c>
      <c r="G94" s="93" t="s">
        <v>31</v>
      </c>
      <c r="H94" s="18" t="s">
        <v>347</v>
      </c>
      <c r="I94" s="140" t="s">
        <v>528</v>
      </c>
      <c r="J94" s="47" t="s">
        <v>139</v>
      </c>
      <c r="K94" s="140" t="s">
        <v>139</v>
      </c>
      <c r="L94" s="39"/>
      <c r="M94" s="40">
        <v>122.5</v>
      </c>
      <c r="N94" s="38" t="str">
        <f>"82,0628"</f>
        <v>82,0628</v>
      </c>
      <c r="O94" s="18" t="s">
        <v>2062</v>
      </c>
    </row>
    <row r="95" spans="1:15" ht="12.75">
      <c r="A95" s="29">
        <v>3</v>
      </c>
      <c r="B95" s="469">
        <v>8</v>
      </c>
      <c r="C95" s="18" t="s">
        <v>4302</v>
      </c>
      <c r="D95" s="92" t="s">
        <v>581</v>
      </c>
      <c r="E95" s="92" t="s">
        <v>582</v>
      </c>
      <c r="F95" s="18" t="str">
        <f>"0,7042"</f>
        <v>0,7042</v>
      </c>
      <c r="G95" s="93" t="s">
        <v>301</v>
      </c>
      <c r="H95" s="18" t="s">
        <v>302</v>
      </c>
      <c r="I95" s="140" t="s">
        <v>471</v>
      </c>
      <c r="J95" s="47" t="s">
        <v>544</v>
      </c>
      <c r="K95" s="47" t="s">
        <v>544</v>
      </c>
      <c r="L95" s="39"/>
      <c r="M95" s="40">
        <v>105</v>
      </c>
      <c r="N95" s="38" t="s">
        <v>2198</v>
      </c>
      <c r="O95" s="18" t="s">
        <v>2071</v>
      </c>
    </row>
    <row r="96" spans="1:15" ht="12.75">
      <c r="A96" s="29">
        <v>4</v>
      </c>
      <c r="B96" s="469">
        <v>7</v>
      </c>
      <c r="C96" s="18" t="s">
        <v>4303</v>
      </c>
      <c r="D96" s="92" t="s">
        <v>579</v>
      </c>
      <c r="E96" s="92" t="s">
        <v>580</v>
      </c>
      <c r="F96" s="18" t="str">
        <f>"0,6888"</f>
        <v>0,6888</v>
      </c>
      <c r="G96" s="93" t="s">
        <v>14</v>
      </c>
      <c r="H96" s="18" t="s">
        <v>189</v>
      </c>
      <c r="I96" s="140" t="s">
        <v>56</v>
      </c>
      <c r="J96" s="140" t="s">
        <v>48</v>
      </c>
      <c r="K96" s="39"/>
      <c r="L96" s="39"/>
      <c r="M96" s="40">
        <v>80</v>
      </c>
      <c r="N96" s="38" t="str">
        <f>"55,1040"</f>
        <v>55,1040</v>
      </c>
      <c r="O96" s="18" t="s">
        <v>51</v>
      </c>
    </row>
    <row r="97" spans="1:15" ht="12.75">
      <c r="A97" s="29">
        <v>1</v>
      </c>
      <c r="B97" s="469"/>
      <c r="C97" s="18" t="s">
        <v>4304</v>
      </c>
      <c r="D97" s="92" t="s">
        <v>584</v>
      </c>
      <c r="E97" s="92" t="s">
        <v>585</v>
      </c>
      <c r="F97" s="18" t="str">
        <f>"0,6744"</f>
        <v>0,6744</v>
      </c>
      <c r="G97" s="93" t="s">
        <v>31</v>
      </c>
      <c r="H97" s="18" t="s">
        <v>347</v>
      </c>
      <c r="I97" s="140" t="s">
        <v>132</v>
      </c>
      <c r="J97" s="140" t="s">
        <v>76</v>
      </c>
      <c r="K97" s="47" t="s">
        <v>64</v>
      </c>
      <c r="L97" s="39"/>
      <c r="M97" s="40">
        <v>157.5</v>
      </c>
      <c r="N97" s="38" t="str">
        <f>"106,2180"</f>
        <v>106,2180</v>
      </c>
      <c r="O97" s="18" t="s">
        <v>51</v>
      </c>
    </row>
    <row r="98" spans="1:15" ht="12.75">
      <c r="A98" s="29">
        <v>2</v>
      </c>
      <c r="B98" s="469"/>
      <c r="C98" s="18" t="s">
        <v>4305</v>
      </c>
      <c r="D98" s="92" t="s">
        <v>587</v>
      </c>
      <c r="E98" s="92" t="s">
        <v>588</v>
      </c>
      <c r="F98" s="18" t="str">
        <f>"0,6759"</f>
        <v>0,6759</v>
      </c>
      <c r="G98" s="93" t="s">
        <v>31</v>
      </c>
      <c r="H98" s="18" t="s">
        <v>589</v>
      </c>
      <c r="I98" s="140" t="s">
        <v>551</v>
      </c>
      <c r="J98" s="140" t="s">
        <v>480</v>
      </c>
      <c r="K98" s="47" t="s">
        <v>131</v>
      </c>
      <c r="L98" s="39"/>
      <c r="M98" s="40">
        <v>140</v>
      </c>
      <c r="N98" s="38" t="str">
        <f>"94,6260"</f>
        <v>94,6260</v>
      </c>
      <c r="O98" s="18" t="s">
        <v>51</v>
      </c>
    </row>
    <row r="99" spans="1:15" ht="12.75">
      <c r="A99" s="29">
        <v>3</v>
      </c>
      <c r="B99" s="469">
        <v>8</v>
      </c>
      <c r="C99" s="18" t="s">
        <v>4306</v>
      </c>
      <c r="D99" s="92" t="s">
        <v>590</v>
      </c>
      <c r="E99" s="92" t="s">
        <v>591</v>
      </c>
      <c r="F99" s="18" t="str">
        <f>"0,6922"</f>
        <v>0,6922</v>
      </c>
      <c r="G99" s="93" t="s">
        <v>130</v>
      </c>
      <c r="H99" s="18" t="s">
        <v>1903</v>
      </c>
      <c r="I99" s="140" t="s">
        <v>88</v>
      </c>
      <c r="J99" s="47" t="s">
        <v>100</v>
      </c>
      <c r="K99" s="47" t="s">
        <v>100</v>
      </c>
      <c r="L99" s="39"/>
      <c r="M99" s="53">
        <v>120</v>
      </c>
      <c r="N99" s="52">
        <v>83.064</v>
      </c>
      <c r="O99" s="18" t="s">
        <v>1702</v>
      </c>
    </row>
    <row r="100" spans="1:15" ht="12.75">
      <c r="A100" s="29">
        <v>1</v>
      </c>
      <c r="B100" s="469"/>
      <c r="C100" s="18" t="s">
        <v>4307</v>
      </c>
      <c r="D100" s="92" t="s">
        <v>593</v>
      </c>
      <c r="E100" s="92" t="s">
        <v>594</v>
      </c>
      <c r="F100" s="18" t="str">
        <f>"0,6827"</f>
        <v>0,6827</v>
      </c>
      <c r="G100" s="93" t="s">
        <v>31</v>
      </c>
      <c r="H100" s="18" t="s">
        <v>1903</v>
      </c>
      <c r="I100" s="140" t="s">
        <v>635</v>
      </c>
      <c r="J100" s="140" t="s">
        <v>120</v>
      </c>
      <c r="K100" s="47" t="s">
        <v>190</v>
      </c>
      <c r="L100" s="39"/>
      <c r="M100" s="40">
        <v>195</v>
      </c>
      <c r="N100" s="38" t="str">
        <f>"133,1265"</f>
        <v>133,1265</v>
      </c>
      <c r="O100" s="18" t="s">
        <v>51</v>
      </c>
    </row>
    <row r="101" spans="1:15" ht="12.75">
      <c r="A101" s="29">
        <v>2</v>
      </c>
      <c r="B101" s="469"/>
      <c r="C101" s="18" t="s">
        <v>4178</v>
      </c>
      <c r="D101" s="92" t="s">
        <v>595</v>
      </c>
      <c r="E101" s="92" t="s">
        <v>588</v>
      </c>
      <c r="F101" s="18" t="str">
        <f>"0,6759"</f>
        <v>0,6759</v>
      </c>
      <c r="G101" s="93" t="s">
        <v>31</v>
      </c>
      <c r="H101" s="18" t="s">
        <v>1903</v>
      </c>
      <c r="I101" s="47" t="s">
        <v>76</v>
      </c>
      <c r="J101" s="47" t="s">
        <v>76</v>
      </c>
      <c r="K101" s="140" t="s">
        <v>76</v>
      </c>
      <c r="L101" s="39"/>
      <c r="M101" s="40">
        <v>157.5</v>
      </c>
      <c r="N101" s="38" t="str">
        <f>"106,4542"</f>
        <v>106,4542</v>
      </c>
      <c r="O101" s="18" t="s">
        <v>51</v>
      </c>
    </row>
    <row r="102" spans="1:15" ht="12.75">
      <c r="A102" s="29">
        <v>3</v>
      </c>
      <c r="B102" s="469"/>
      <c r="C102" s="18" t="s">
        <v>4308</v>
      </c>
      <c r="D102" s="92" t="s">
        <v>607</v>
      </c>
      <c r="E102" s="92" t="s">
        <v>600</v>
      </c>
      <c r="F102" s="18" t="str">
        <f>"0,6975"</f>
        <v>0,6975</v>
      </c>
      <c r="G102" s="93" t="s">
        <v>31</v>
      </c>
      <c r="H102" s="18" t="s">
        <v>267</v>
      </c>
      <c r="I102" s="140" t="s">
        <v>132</v>
      </c>
      <c r="J102" s="47" t="s">
        <v>63</v>
      </c>
      <c r="K102" s="47" t="s">
        <v>63</v>
      </c>
      <c r="L102" s="39"/>
      <c r="M102" s="40">
        <v>150</v>
      </c>
      <c r="N102" s="38" t="s">
        <v>2200</v>
      </c>
      <c r="O102" s="18" t="s">
        <v>51</v>
      </c>
    </row>
    <row r="103" spans="1:15" ht="12.75">
      <c r="A103" s="29">
        <v>4</v>
      </c>
      <c r="B103" s="469">
        <v>19</v>
      </c>
      <c r="C103" s="18" t="s">
        <v>4309</v>
      </c>
      <c r="D103" s="92" t="s">
        <v>596</v>
      </c>
      <c r="E103" s="92" t="s">
        <v>597</v>
      </c>
      <c r="F103" s="18" t="str">
        <f>"0,6860"</f>
        <v>0,6860</v>
      </c>
      <c r="G103" s="93" t="s">
        <v>130</v>
      </c>
      <c r="H103" s="18" t="s">
        <v>1903</v>
      </c>
      <c r="I103" s="140" t="s">
        <v>89</v>
      </c>
      <c r="J103" s="140" t="s">
        <v>598</v>
      </c>
      <c r="K103" s="140" t="s">
        <v>131</v>
      </c>
      <c r="L103" s="39"/>
      <c r="M103" s="40">
        <v>145</v>
      </c>
      <c r="N103" s="38" t="str">
        <f>"99,4700"</f>
        <v>99,4700</v>
      </c>
      <c r="O103" s="18" t="s">
        <v>1884</v>
      </c>
    </row>
    <row r="104" spans="1:15" ht="12.75">
      <c r="A104" s="29">
        <v>5</v>
      </c>
      <c r="B104" s="469"/>
      <c r="C104" s="18" t="s">
        <v>4310</v>
      </c>
      <c r="D104" s="92" t="s">
        <v>599</v>
      </c>
      <c r="E104" s="92" t="s">
        <v>600</v>
      </c>
      <c r="F104" s="18" t="str">
        <f>"0,6975"</f>
        <v>0,6975</v>
      </c>
      <c r="G104" s="93" t="s">
        <v>31</v>
      </c>
      <c r="H104" s="18" t="s">
        <v>1903</v>
      </c>
      <c r="I104" s="47" t="s">
        <v>480</v>
      </c>
      <c r="J104" s="140" t="s">
        <v>480</v>
      </c>
      <c r="K104" s="56" t="s">
        <v>131</v>
      </c>
      <c r="L104" s="39"/>
      <c r="M104" s="40">
        <v>140</v>
      </c>
      <c r="N104" s="38" t="str">
        <f>"97,6500"</f>
        <v>97,6500</v>
      </c>
      <c r="O104" s="18" t="s">
        <v>2072</v>
      </c>
    </row>
    <row r="105" spans="1:15" ht="12.75">
      <c r="A105" s="29">
        <v>6</v>
      </c>
      <c r="B105" s="469"/>
      <c r="C105" s="18" t="s">
        <v>4311</v>
      </c>
      <c r="D105" s="92" t="s">
        <v>612</v>
      </c>
      <c r="E105" s="92" t="s">
        <v>613</v>
      </c>
      <c r="F105" s="18" t="str">
        <f>"0,6719"</f>
        <v>0,6719</v>
      </c>
      <c r="G105" s="93" t="s">
        <v>31</v>
      </c>
      <c r="H105" s="18" t="s">
        <v>1312</v>
      </c>
      <c r="I105" s="140" t="s">
        <v>551</v>
      </c>
      <c r="J105" s="47" t="s">
        <v>131</v>
      </c>
      <c r="K105" s="47" t="s">
        <v>131</v>
      </c>
      <c r="L105" s="39"/>
      <c r="M105" s="40">
        <v>135</v>
      </c>
      <c r="N105" s="38" t="s">
        <v>2199</v>
      </c>
      <c r="O105" s="18" t="s">
        <v>2001</v>
      </c>
    </row>
    <row r="106" spans="1:15" ht="12.75">
      <c r="A106" s="29">
        <v>7</v>
      </c>
      <c r="B106" s="469"/>
      <c r="C106" s="18" t="s">
        <v>4312</v>
      </c>
      <c r="D106" s="92" t="s">
        <v>601</v>
      </c>
      <c r="E106" s="92" t="s">
        <v>602</v>
      </c>
      <c r="F106" s="18" t="str">
        <f>"0,6790"</f>
        <v>0,6790</v>
      </c>
      <c r="G106" s="93" t="s">
        <v>31</v>
      </c>
      <c r="H106" s="18" t="s">
        <v>603</v>
      </c>
      <c r="I106" s="47" t="s">
        <v>528</v>
      </c>
      <c r="J106" s="47" t="s">
        <v>528</v>
      </c>
      <c r="K106" s="140" t="s">
        <v>528</v>
      </c>
      <c r="L106" s="39"/>
      <c r="M106" s="40">
        <v>117.5</v>
      </c>
      <c r="N106" s="38" t="str">
        <f>"79,7825"</f>
        <v>79,7825</v>
      </c>
      <c r="O106" s="18" t="s">
        <v>1993</v>
      </c>
    </row>
    <row r="107" spans="1:15" ht="13.5" customHeight="1">
      <c r="A107" s="29">
        <v>8</v>
      </c>
      <c r="B107" s="469"/>
      <c r="C107" s="18" t="s">
        <v>4313</v>
      </c>
      <c r="D107" s="92" t="s">
        <v>604</v>
      </c>
      <c r="E107" s="92" t="s">
        <v>605</v>
      </c>
      <c r="F107" s="18" t="str">
        <f>"0,7061"</f>
        <v>0,7061</v>
      </c>
      <c r="G107" s="93" t="s">
        <v>31</v>
      </c>
      <c r="H107" s="18" t="s">
        <v>1903</v>
      </c>
      <c r="I107" s="140" t="s">
        <v>33</v>
      </c>
      <c r="J107" s="47" t="s">
        <v>303</v>
      </c>
      <c r="K107" s="47" t="s">
        <v>303</v>
      </c>
      <c r="L107" s="39"/>
      <c r="M107" s="40">
        <v>95</v>
      </c>
      <c r="N107" s="38" t="s">
        <v>2201</v>
      </c>
      <c r="O107" s="18" t="s">
        <v>51</v>
      </c>
    </row>
    <row r="108" spans="2:15" ht="12.75">
      <c r="B108" s="469"/>
      <c r="C108" s="18" t="s">
        <v>608</v>
      </c>
      <c r="D108" s="92" t="s">
        <v>609</v>
      </c>
      <c r="E108" s="92" t="s">
        <v>610</v>
      </c>
      <c r="F108" s="18" t="str">
        <f>"0,6795"</f>
        <v>0,6795</v>
      </c>
      <c r="G108" s="93" t="s">
        <v>31</v>
      </c>
      <c r="H108" s="18" t="s">
        <v>1903</v>
      </c>
      <c r="I108" s="47" t="s">
        <v>100</v>
      </c>
      <c r="J108" s="47" t="s">
        <v>100</v>
      </c>
      <c r="K108" s="47" t="s">
        <v>100</v>
      </c>
      <c r="L108" s="39"/>
      <c r="M108" s="52">
        <v>0</v>
      </c>
      <c r="N108" s="38" t="s">
        <v>1639</v>
      </c>
      <c r="O108" s="18" t="s">
        <v>51</v>
      </c>
    </row>
    <row r="109" spans="2:15" ht="12.75">
      <c r="B109" s="469"/>
      <c r="C109" s="18" t="s">
        <v>3261</v>
      </c>
      <c r="D109" s="18" t="s">
        <v>3262</v>
      </c>
      <c r="E109" s="92" t="s">
        <v>588</v>
      </c>
      <c r="F109" s="18" t="str">
        <f>"0,6759"</f>
        <v>0,6759</v>
      </c>
      <c r="G109" s="93" t="s">
        <v>31</v>
      </c>
      <c r="H109" s="18" t="s">
        <v>1903</v>
      </c>
      <c r="I109" s="47" t="s">
        <v>528</v>
      </c>
      <c r="J109" s="47" t="s">
        <v>139</v>
      </c>
      <c r="K109" s="47"/>
      <c r="L109" s="39"/>
      <c r="M109" s="52">
        <v>0</v>
      </c>
      <c r="N109" s="38" t="s">
        <v>1639</v>
      </c>
      <c r="O109" s="18" t="s">
        <v>51</v>
      </c>
    </row>
    <row r="110" spans="2:15" ht="12.75">
      <c r="B110" s="469"/>
      <c r="C110" s="18" t="s">
        <v>608</v>
      </c>
      <c r="D110" s="92" t="s">
        <v>614</v>
      </c>
      <c r="E110" s="92" t="s">
        <v>610</v>
      </c>
      <c r="F110" s="18" t="str">
        <f>"0,6795"</f>
        <v>0,6795</v>
      </c>
      <c r="G110" s="93" t="s">
        <v>31</v>
      </c>
      <c r="H110" s="18" t="s">
        <v>1903</v>
      </c>
      <c r="I110" s="47" t="s">
        <v>100</v>
      </c>
      <c r="J110" s="47" t="s">
        <v>100</v>
      </c>
      <c r="K110" s="47" t="s">
        <v>100</v>
      </c>
      <c r="L110" s="39"/>
      <c r="M110" s="52">
        <v>0</v>
      </c>
      <c r="N110" s="38" t="s">
        <v>1639</v>
      </c>
      <c r="O110" s="18" t="s">
        <v>51</v>
      </c>
    </row>
    <row r="111" spans="1:15" ht="12.75">
      <c r="A111" s="29">
        <v>1</v>
      </c>
      <c r="B111" s="469"/>
      <c r="C111" s="18" t="s">
        <v>4314</v>
      </c>
      <c r="D111" s="92" t="s">
        <v>615</v>
      </c>
      <c r="E111" s="92" t="s">
        <v>616</v>
      </c>
      <c r="F111" s="18" t="str">
        <f>"0,7099"</f>
        <v>0,7099</v>
      </c>
      <c r="G111" s="93" t="s">
        <v>2146</v>
      </c>
      <c r="H111" s="18" t="s">
        <v>2142</v>
      </c>
      <c r="I111" s="140" t="s">
        <v>49</v>
      </c>
      <c r="J111" s="140" t="s">
        <v>33</v>
      </c>
      <c r="K111" s="47" t="s">
        <v>303</v>
      </c>
      <c r="L111" s="39"/>
      <c r="M111" s="40">
        <v>95</v>
      </c>
      <c r="N111" s="38" t="str">
        <f>"77,5566"</f>
        <v>77,5566</v>
      </c>
      <c r="O111" s="18" t="s">
        <v>51</v>
      </c>
    </row>
    <row r="112" spans="2:15" ht="12.75">
      <c r="B112" s="469"/>
      <c r="C112" s="18" t="s">
        <v>617</v>
      </c>
      <c r="D112" s="92" t="s">
        <v>618</v>
      </c>
      <c r="E112" s="92" t="s">
        <v>124</v>
      </c>
      <c r="F112" s="18" t="str">
        <f>"0,6785"</f>
        <v>0,6785</v>
      </c>
      <c r="G112" s="93" t="s">
        <v>31</v>
      </c>
      <c r="H112" s="18" t="s">
        <v>222</v>
      </c>
      <c r="I112" s="47" t="s">
        <v>136</v>
      </c>
      <c r="J112" s="47" t="s">
        <v>136</v>
      </c>
      <c r="K112" s="47" t="s">
        <v>131</v>
      </c>
      <c r="L112" s="39"/>
      <c r="M112" s="52">
        <v>0</v>
      </c>
      <c r="N112" s="38" t="s">
        <v>1639</v>
      </c>
      <c r="O112" s="18" t="s">
        <v>51</v>
      </c>
    </row>
    <row r="113" spans="1:15" ht="12.75">
      <c r="A113" s="29">
        <v>1</v>
      </c>
      <c r="B113" s="469">
        <v>12</v>
      </c>
      <c r="C113" s="18" t="s">
        <v>4315</v>
      </c>
      <c r="D113" s="92" t="s">
        <v>620</v>
      </c>
      <c r="E113" s="92" t="s">
        <v>580</v>
      </c>
      <c r="F113" s="18" t="str">
        <f>"0,6888"</f>
        <v>0,6888</v>
      </c>
      <c r="G113" s="93" t="s">
        <v>125</v>
      </c>
      <c r="H113" s="92" t="s">
        <v>621</v>
      </c>
      <c r="I113" s="143" t="s">
        <v>88</v>
      </c>
      <c r="J113" s="140" t="s">
        <v>447</v>
      </c>
      <c r="K113" s="149" t="s">
        <v>100</v>
      </c>
      <c r="L113" s="102"/>
      <c r="M113" s="40">
        <v>127.5</v>
      </c>
      <c r="N113" s="38" t="str">
        <f>"170,3747"</f>
        <v>170,3747</v>
      </c>
      <c r="O113" s="18" t="s">
        <v>51</v>
      </c>
    </row>
    <row r="114" spans="1:15" ht="12.75">
      <c r="A114" s="29">
        <v>2</v>
      </c>
      <c r="B114" s="469"/>
      <c r="C114" s="19" t="s">
        <v>622</v>
      </c>
      <c r="D114" s="94" t="s">
        <v>623</v>
      </c>
      <c r="E114" s="94" t="s">
        <v>594</v>
      </c>
      <c r="F114" s="19" t="str">
        <f>"0,6827"</f>
        <v>0,6827</v>
      </c>
      <c r="G114" s="95" t="s">
        <v>2146</v>
      </c>
      <c r="H114" s="94" t="s">
        <v>2143</v>
      </c>
      <c r="I114" s="144" t="s">
        <v>16</v>
      </c>
      <c r="J114" s="139" t="s">
        <v>432</v>
      </c>
      <c r="K114" s="112" t="s">
        <v>94</v>
      </c>
      <c r="L114" s="109"/>
      <c r="M114" s="43">
        <v>50</v>
      </c>
      <c r="N114" s="41" t="str">
        <f>"68,9527"</f>
        <v>68,9527</v>
      </c>
      <c r="O114" s="19" t="s">
        <v>51</v>
      </c>
    </row>
    <row r="115" ht="12.75">
      <c r="B115" s="470"/>
    </row>
    <row r="116" spans="2:14" ht="15.75">
      <c r="B116" s="469"/>
      <c r="C116" s="541" t="s">
        <v>59</v>
      </c>
      <c r="D116" s="541"/>
      <c r="E116" s="541"/>
      <c r="F116" s="541"/>
      <c r="G116" s="541"/>
      <c r="H116" s="541"/>
      <c r="I116" s="541"/>
      <c r="J116" s="541"/>
      <c r="K116" s="541"/>
      <c r="L116" s="541"/>
      <c r="M116" s="541"/>
      <c r="N116" s="541"/>
    </row>
    <row r="117" spans="1:15" ht="12.75">
      <c r="A117" s="29">
        <v>1</v>
      </c>
      <c r="B117" s="469">
        <v>12</v>
      </c>
      <c r="C117" s="17" t="s">
        <v>4184</v>
      </c>
      <c r="D117" s="88" t="s">
        <v>625</v>
      </c>
      <c r="E117" s="17" t="s">
        <v>626</v>
      </c>
      <c r="F117" s="17" t="str">
        <f>"0,6588"</f>
        <v>0,6588</v>
      </c>
      <c r="G117" s="17" t="s">
        <v>125</v>
      </c>
      <c r="H117" s="17" t="s">
        <v>445</v>
      </c>
      <c r="I117" s="138" t="s">
        <v>452</v>
      </c>
      <c r="J117" s="138" t="s">
        <v>24</v>
      </c>
      <c r="K117" s="46" t="s">
        <v>25</v>
      </c>
      <c r="L117" s="36"/>
      <c r="M117" s="44">
        <v>102.5</v>
      </c>
      <c r="N117" s="35" t="str">
        <f>"67,5270"</f>
        <v>67,5270</v>
      </c>
      <c r="O117" s="17" t="s">
        <v>1699</v>
      </c>
    </row>
    <row r="118" spans="1:15" ht="12.75">
      <c r="A118" s="29">
        <v>1</v>
      </c>
      <c r="B118" s="469"/>
      <c r="C118" s="18" t="s">
        <v>4316</v>
      </c>
      <c r="D118" s="93" t="s">
        <v>628</v>
      </c>
      <c r="E118" s="18" t="s">
        <v>629</v>
      </c>
      <c r="F118" s="18" t="str">
        <f>"0,6491"</f>
        <v>0,6491</v>
      </c>
      <c r="G118" s="18" t="s">
        <v>31</v>
      </c>
      <c r="H118" s="18" t="s">
        <v>1903</v>
      </c>
      <c r="I118" s="140" t="s">
        <v>64</v>
      </c>
      <c r="J118" s="140" t="s">
        <v>153</v>
      </c>
      <c r="K118" s="140" t="s">
        <v>127</v>
      </c>
      <c r="L118" s="140" t="s">
        <v>108</v>
      </c>
      <c r="M118" s="40">
        <v>180</v>
      </c>
      <c r="N118" s="38" t="str">
        <f>"116,8380"</f>
        <v>116,8380</v>
      </c>
      <c r="O118" s="18" t="s">
        <v>51</v>
      </c>
    </row>
    <row r="119" spans="1:15" ht="12.75">
      <c r="A119" s="29">
        <v>2</v>
      </c>
      <c r="B119" s="469"/>
      <c r="C119" s="18" t="s">
        <v>4317</v>
      </c>
      <c r="D119" s="93" t="s">
        <v>630</v>
      </c>
      <c r="E119" s="18" t="s">
        <v>631</v>
      </c>
      <c r="F119" s="18" t="str">
        <f>"0,6471"</f>
        <v>0,6471</v>
      </c>
      <c r="G119" s="18" t="s">
        <v>31</v>
      </c>
      <c r="H119" s="18" t="s">
        <v>162</v>
      </c>
      <c r="I119" s="140" t="s">
        <v>88</v>
      </c>
      <c r="J119" s="47" t="s">
        <v>101</v>
      </c>
      <c r="K119" s="140" t="s">
        <v>101</v>
      </c>
      <c r="L119" s="39"/>
      <c r="M119" s="40">
        <v>132.5</v>
      </c>
      <c r="N119" s="38" t="str">
        <f>"85,7407"</f>
        <v>85,7407</v>
      </c>
      <c r="O119" s="18" t="s">
        <v>632</v>
      </c>
    </row>
    <row r="120" spans="1:15" ht="12.75">
      <c r="A120" s="29">
        <v>1</v>
      </c>
      <c r="B120" s="469"/>
      <c r="C120" s="18" t="s">
        <v>4318</v>
      </c>
      <c r="D120" s="93" t="s">
        <v>633</v>
      </c>
      <c r="E120" s="18" t="s">
        <v>634</v>
      </c>
      <c r="F120" s="18" t="str">
        <f>"0,6402"</f>
        <v>0,6402</v>
      </c>
      <c r="G120" s="18" t="s">
        <v>2146</v>
      </c>
      <c r="H120" s="18" t="s">
        <v>2253</v>
      </c>
      <c r="I120" s="140" t="s">
        <v>127</v>
      </c>
      <c r="J120" s="140" t="s">
        <v>635</v>
      </c>
      <c r="K120" s="140" t="s">
        <v>176</v>
      </c>
      <c r="L120" s="39"/>
      <c r="M120" s="40">
        <v>192.5</v>
      </c>
      <c r="N120" s="38" t="str">
        <f>"123,2385"</f>
        <v>123,2385</v>
      </c>
      <c r="O120" s="18" t="s">
        <v>51</v>
      </c>
    </row>
    <row r="121" spans="1:15" ht="12.75">
      <c r="A121" s="29">
        <v>2</v>
      </c>
      <c r="B121" s="469">
        <v>27</v>
      </c>
      <c r="C121" s="18" t="s">
        <v>4267</v>
      </c>
      <c r="D121" s="93" t="s">
        <v>637</v>
      </c>
      <c r="E121" s="18" t="s">
        <v>638</v>
      </c>
      <c r="F121" s="18" t="str">
        <f>"0,6447"</f>
        <v>0,6447</v>
      </c>
      <c r="G121" s="18" t="s">
        <v>2104</v>
      </c>
      <c r="H121" s="18" t="s">
        <v>1903</v>
      </c>
      <c r="I121" s="140" t="s">
        <v>126</v>
      </c>
      <c r="J121" s="140" t="s">
        <v>175</v>
      </c>
      <c r="K121" s="140" t="s">
        <v>108</v>
      </c>
      <c r="L121" s="39"/>
      <c r="M121" s="40">
        <v>190</v>
      </c>
      <c r="N121" s="38" t="str">
        <f>"122,4930"</f>
        <v>122,4930</v>
      </c>
      <c r="O121" s="18" t="s">
        <v>2037</v>
      </c>
    </row>
    <row r="122" spans="1:15" ht="12.75">
      <c r="A122" s="29">
        <v>3</v>
      </c>
      <c r="B122" s="469"/>
      <c r="C122" s="18" t="s">
        <v>4268</v>
      </c>
      <c r="D122" s="93" t="s">
        <v>639</v>
      </c>
      <c r="E122" s="18" t="s">
        <v>640</v>
      </c>
      <c r="F122" s="18" t="str">
        <f>"0,6451"</f>
        <v>0,6451</v>
      </c>
      <c r="G122" s="18" t="s">
        <v>31</v>
      </c>
      <c r="H122" s="18" t="s">
        <v>196</v>
      </c>
      <c r="I122" s="140" t="s">
        <v>126</v>
      </c>
      <c r="J122" s="140" t="s">
        <v>350</v>
      </c>
      <c r="K122" s="140" t="s">
        <v>635</v>
      </c>
      <c r="L122" s="39"/>
      <c r="M122" s="40">
        <v>187.5</v>
      </c>
      <c r="N122" s="38" t="str">
        <f>"120,9562"</f>
        <v>120,9562</v>
      </c>
      <c r="O122" s="18" t="s">
        <v>51</v>
      </c>
    </row>
    <row r="123" spans="1:15" ht="12.75">
      <c r="A123" s="29">
        <v>4</v>
      </c>
      <c r="B123" s="469"/>
      <c r="C123" s="18" t="s">
        <v>3870</v>
      </c>
      <c r="D123" s="93" t="s">
        <v>156</v>
      </c>
      <c r="E123" s="18" t="s">
        <v>157</v>
      </c>
      <c r="F123" s="18" t="str">
        <f>"0,6410"</f>
        <v>0,6410</v>
      </c>
      <c r="G123" s="18" t="s">
        <v>31</v>
      </c>
      <c r="H123" s="18" t="s">
        <v>1675</v>
      </c>
      <c r="I123" s="140" t="s">
        <v>64</v>
      </c>
      <c r="J123" s="140" t="s">
        <v>126</v>
      </c>
      <c r="K123" s="39"/>
      <c r="L123" s="39"/>
      <c r="M123" s="40">
        <v>175</v>
      </c>
      <c r="N123" s="38" t="str">
        <f>"112,1750"</f>
        <v>112,1750</v>
      </c>
      <c r="O123" s="18" t="s">
        <v>158</v>
      </c>
    </row>
    <row r="124" spans="1:15" ht="12.75">
      <c r="A124" s="29">
        <v>5</v>
      </c>
      <c r="B124" s="469">
        <v>24</v>
      </c>
      <c r="C124" s="18" t="s">
        <v>4319</v>
      </c>
      <c r="D124" s="93" t="s">
        <v>641</v>
      </c>
      <c r="E124" s="18" t="s">
        <v>642</v>
      </c>
      <c r="F124" s="18" t="str">
        <f>"0,6395"</f>
        <v>0,6395</v>
      </c>
      <c r="G124" s="18" t="s">
        <v>431</v>
      </c>
      <c r="H124" s="18" t="s">
        <v>1903</v>
      </c>
      <c r="I124" s="140" t="s">
        <v>153</v>
      </c>
      <c r="J124" s="140" t="s">
        <v>126</v>
      </c>
      <c r="K124" s="47" t="s">
        <v>175</v>
      </c>
      <c r="L124" s="39"/>
      <c r="M124" s="40">
        <v>175</v>
      </c>
      <c r="N124" s="38" t="str">
        <f>"111,9125"</f>
        <v>111,9125</v>
      </c>
      <c r="O124" s="18" t="s">
        <v>2073</v>
      </c>
    </row>
    <row r="125" spans="1:15" ht="12.75">
      <c r="A125" s="29">
        <v>6</v>
      </c>
      <c r="B125" s="469"/>
      <c r="C125" s="18" t="s">
        <v>4320</v>
      </c>
      <c r="D125" s="93" t="s">
        <v>643</v>
      </c>
      <c r="E125" s="18" t="s">
        <v>631</v>
      </c>
      <c r="F125" s="18" t="str">
        <f>"0,6471"</f>
        <v>0,6471</v>
      </c>
      <c r="G125" s="18" t="s">
        <v>31</v>
      </c>
      <c r="H125" s="18" t="s">
        <v>1642</v>
      </c>
      <c r="I125" s="140" t="s">
        <v>64</v>
      </c>
      <c r="J125" s="140" t="s">
        <v>268</v>
      </c>
      <c r="K125" s="47" t="s">
        <v>126</v>
      </c>
      <c r="L125" s="39"/>
      <c r="M125" s="40">
        <v>167.5</v>
      </c>
      <c r="N125" s="38" t="str">
        <f>"108,3892"</f>
        <v>108,3892</v>
      </c>
      <c r="O125" s="18" t="s">
        <v>1822</v>
      </c>
    </row>
    <row r="126" spans="1:15" ht="12.75">
      <c r="A126" s="29">
        <v>7</v>
      </c>
      <c r="B126" s="469"/>
      <c r="C126" s="18" t="s">
        <v>4321</v>
      </c>
      <c r="D126" s="93" t="s">
        <v>644</v>
      </c>
      <c r="E126" s="18" t="s">
        <v>645</v>
      </c>
      <c r="F126" s="18" t="str">
        <f>"0,6440"</f>
        <v>0,6440</v>
      </c>
      <c r="G126" s="18" t="s">
        <v>31</v>
      </c>
      <c r="H126" s="18" t="s">
        <v>1903</v>
      </c>
      <c r="I126" s="140" t="s">
        <v>131</v>
      </c>
      <c r="J126" s="140" t="s">
        <v>297</v>
      </c>
      <c r="K126" s="47" t="s">
        <v>76</v>
      </c>
      <c r="L126" s="39"/>
      <c r="M126" s="40">
        <v>152.5</v>
      </c>
      <c r="N126" s="38" t="str">
        <f>"98,2100"</f>
        <v>98,2100</v>
      </c>
      <c r="O126" s="18" t="s">
        <v>51</v>
      </c>
    </row>
    <row r="127" spans="1:15" ht="12.75">
      <c r="A127" s="29">
        <v>8</v>
      </c>
      <c r="B127" s="469">
        <v>3</v>
      </c>
      <c r="C127" s="18" t="s">
        <v>4322</v>
      </c>
      <c r="D127" s="93" t="s">
        <v>646</v>
      </c>
      <c r="E127" s="18" t="s">
        <v>647</v>
      </c>
      <c r="F127" s="18" t="str">
        <f>"0,6562"</f>
        <v>0,6562</v>
      </c>
      <c r="G127" s="18" t="s">
        <v>125</v>
      </c>
      <c r="H127" s="18" t="s">
        <v>1903</v>
      </c>
      <c r="I127" s="140" t="s">
        <v>89</v>
      </c>
      <c r="J127" s="47" t="s">
        <v>101</v>
      </c>
      <c r="K127" s="140" t="s">
        <v>101</v>
      </c>
      <c r="L127" s="39"/>
      <c r="M127" s="40">
        <v>132.5</v>
      </c>
      <c r="N127" s="38" t="str">
        <f>"86,9465"</f>
        <v>86,9465</v>
      </c>
      <c r="O127" s="18" t="s">
        <v>2056</v>
      </c>
    </row>
    <row r="128" spans="1:15" ht="12.75">
      <c r="A128" s="29">
        <v>9</v>
      </c>
      <c r="B128" s="469"/>
      <c r="C128" s="18" t="s">
        <v>4323</v>
      </c>
      <c r="D128" s="93" t="s">
        <v>3263</v>
      </c>
      <c r="E128" s="11" t="s">
        <v>157</v>
      </c>
      <c r="F128" s="11" t="str">
        <f>"0,6410"</f>
        <v>0,6410</v>
      </c>
      <c r="G128" s="18" t="s">
        <v>31</v>
      </c>
      <c r="H128" s="18" t="s">
        <v>1642</v>
      </c>
      <c r="I128" s="140" t="s">
        <v>447</v>
      </c>
      <c r="J128" s="47" t="s">
        <v>89</v>
      </c>
      <c r="K128" s="140" t="s">
        <v>89</v>
      </c>
      <c r="L128" s="39"/>
      <c r="M128" s="40">
        <v>130</v>
      </c>
      <c r="N128" s="38" t="s">
        <v>3264</v>
      </c>
      <c r="O128" s="18" t="s">
        <v>51</v>
      </c>
    </row>
    <row r="129" spans="2:15" ht="12.75">
      <c r="B129" s="469"/>
      <c r="C129" s="18" t="s">
        <v>3265</v>
      </c>
      <c r="D129" s="93" t="s">
        <v>3266</v>
      </c>
      <c r="E129" s="92" t="s">
        <v>157</v>
      </c>
      <c r="F129" s="18" t="str">
        <f>"0,6410"</f>
        <v>0,6410</v>
      </c>
      <c r="G129" s="93" t="s">
        <v>31</v>
      </c>
      <c r="H129" s="18" t="s">
        <v>3188</v>
      </c>
      <c r="I129" s="47" t="s">
        <v>139</v>
      </c>
      <c r="J129" s="47" t="s">
        <v>139</v>
      </c>
      <c r="K129" s="47" t="s">
        <v>139</v>
      </c>
      <c r="L129" s="39"/>
      <c r="M129" s="40">
        <v>0</v>
      </c>
      <c r="N129" s="38" t="s">
        <v>1639</v>
      </c>
      <c r="O129" s="18" t="s">
        <v>51</v>
      </c>
    </row>
    <row r="130" spans="1:15" ht="12.75">
      <c r="A130" s="29">
        <v>1</v>
      </c>
      <c r="B130" s="469">
        <v>30</v>
      </c>
      <c r="C130" s="18" t="s">
        <v>4267</v>
      </c>
      <c r="D130" s="93" t="s">
        <v>648</v>
      </c>
      <c r="E130" s="18" t="s">
        <v>638</v>
      </c>
      <c r="F130" s="18" t="str">
        <f>"0,6447"</f>
        <v>0,6447</v>
      </c>
      <c r="G130" s="18" t="s">
        <v>2104</v>
      </c>
      <c r="H130" s="18" t="s">
        <v>1903</v>
      </c>
      <c r="I130" s="140" t="s">
        <v>126</v>
      </c>
      <c r="J130" s="140" t="s">
        <v>175</v>
      </c>
      <c r="K130" s="140" t="s">
        <v>108</v>
      </c>
      <c r="L130" s="39"/>
      <c r="M130" s="40">
        <v>190</v>
      </c>
      <c r="N130" s="38" t="str">
        <f>"124,2079"</f>
        <v>124,2079</v>
      </c>
      <c r="O130" s="18" t="s">
        <v>2074</v>
      </c>
    </row>
    <row r="131" spans="1:15" ht="12.75">
      <c r="A131" s="29">
        <v>2</v>
      </c>
      <c r="B131" s="469"/>
      <c r="C131" s="18" t="s">
        <v>4268</v>
      </c>
      <c r="D131" s="93" t="s">
        <v>649</v>
      </c>
      <c r="E131" s="18" t="s">
        <v>640</v>
      </c>
      <c r="F131" s="18" t="str">
        <f>"0,6451"</f>
        <v>0,6451</v>
      </c>
      <c r="G131" s="18" t="s">
        <v>31</v>
      </c>
      <c r="H131" s="18" t="s">
        <v>196</v>
      </c>
      <c r="I131" s="140" t="s">
        <v>350</v>
      </c>
      <c r="J131" s="140" t="s">
        <v>635</v>
      </c>
      <c r="K131" s="39"/>
      <c r="L131" s="39"/>
      <c r="M131" s="40">
        <v>187.5</v>
      </c>
      <c r="N131" s="38" t="str">
        <f>"121,5610"</f>
        <v>121,5610</v>
      </c>
      <c r="O131" s="18" t="s">
        <v>51</v>
      </c>
    </row>
    <row r="132" spans="1:15" ht="12.75">
      <c r="A132" s="29">
        <v>1</v>
      </c>
      <c r="B132" s="469"/>
      <c r="C132" s="18" t="s">
        <v>4324</v>
      </c>
      <c r="D132" s="93" t="s">
        <v>650</v>
      </c>
      <c r="E132" s="18" t="s">
        <v>651</v>
      </c>
      <c r="F132" s="18" t="str">
        <f>"0,6436"</f>
        <v>0,6436</v>
      </c>
      <c r="G132" s="18" t="s">
        <v>31</v>
      </c>
      <c r="H132" s="18" t="s">
        <v>347</v>
      </c>
      <c r="I132" s="140" t="s">
        <v>63</v>
      </c>
      <c r="J132" s="140" t="s">
        <v>64</v>
      </c>
      <c r="K132" s="140" t="s">
        <v>183</v>
      </c>
      <c r="L132" s="39"/>
      <c r="M132" s="40">
        <v>165</v>
      </c>
      <c r="N132" s="38" t="str">
        <f>"120,2116"</f>
        <v>120,2116</v>
      </c>
      <c r="O132" s="18" t="s">
        <v>51</v>
      </c>
    </row>
    <row r="133" spans="1:15" ht="12.75">
      <c r="A133" s="29">
        <v>2</v>
      </c>
      <c r="B133" s="469">
        <v>21</v>
      </c>
      <c r="C133" s="18" t="s">
        <v>4325</v>
      </c>
      <c r="D133" s="93" t="s">
        <v>652</v>
      </c>
      <c r="E133" s="18" t="s">
        <v>653</v>
      </c>
      <c r="F133" s="18" t="str">
        <f>"0,6444"</f>
        <v>0,6444</v>
      </c>
      <c r="G133" s="18" t="s">
        <v>130</v>
      </c>
      <c r="H133" s="18" t="s">
        <v>1903</v>
      </c>
      <c r="I133" s="140" t="s">
        <v>811</v>
      </c>
      <c r="J133" s="140" t="s">
        <v>297</v>
      </c>
      <c r="K133" s="47" t="s">
        <v>76</v>
      </c>
      <c r="L133" s="39"/>
      <c r="M133" s="40">
        <v>152.5</v>
      </c>
      <c r="N133" s="38" t="str">
        <f>"104,1673"</f>
        <v>104,1673</v>
      </c>
      <c r="O133" s="18" t="s">
        <v>51</v>
      </c>
    </row>
    <row r="134" spans="1:15" ht="12.75">
      <c r="A134" s="29">
        <v>3</v>
      </c>
      <c r="B134" s="469"/>
      <c r="C134" s="18" t="s">
        <v>3999</v>
      </c>
      <c r="D134" s="93" t="s">
        <v>655</v>
      </c>
      <c r="E134" s="18" t="s">
        <v>656</v>
      </c>
      <c r="F134" s="18" t="str">
        <f>"0,6421"</f>
        <v>0,6421</v>
      </c>
      <c r="G134" s="18" t="s">
        <v>31</v>
      </c>
      <c r="H134" s="18" t="s">
        <v>347</v>
      </c>
      <c r="I134" s="140" t="s">
        <v>131</v>
      </c>
      <c r="J134" s="140" t="s">
        <v>132</v>
      </c>
      <c r="K134" s="47" t="s">
        <v>63</v>
      </c>
      <c r="L134" s="39"/>
      <c r="M134" s="40">
        <v>150</v>
      </c>
      <c r="N134" s="38" t="str">
        <f>"103,8276"</f>
        <v>103,8276</v>
      </c>
      <c r="O134" s="18" t="s">
        <v>2068</v>
      </c>
    </row>
    <row r="135" spans="2:15" ht="12.75">
      <c r="B135" s="469"/>
      <c r="C135" s="19" t="s">
        <v>657</v>
      </c>
      <c r="D135" s="95" t="s">
        <v>658</v>
      </c>
      <c r="E135" s="19" t="s">
        <v>659</v>
      </c>
      <c r="F135" s="19" t="str">
        <f>"0,6540"</f>
        <v>0,6540</v>
      </c>
      <c r="G135" s="19" t="s">
        <v>31</v>
      </c>
      <c r="H135" s="19" t="s">
        <v>660</v>
      </c>
      <c r="I135" s="48" t="s">
        <v>132</v>
      </c>
      <c r="J135" s="48" t="s">
        <v>63</v>
      </c>
      <c r="K135" s="48" t="s">
        <v>63</v>
      </c>
      <c r="L135" s="42"/>
      <c r="M135" s="51">
        <v>0</v>
      </c>
      <c r="N135" s="41" t="s">
        <v>1639</v>
      </c>
      <c r="O135" s="19" t="s">
        <v>2075</v>
      </c>
    </row>
    <row r="136" ht="12.75">
      <c r="B136" s="470"/>
    </row>
    <row r="137" spans="2:14" ht="15.75">
      <c r="B137" s="469"/>
      <c r="C137" s="541" t="s">
        <v>164</v>
      </c>
      <c r="D137" s="541"/>
      <c r="E137" s="541"/>
      <c r="F137" s="541"/>
      <c r="G137" s="541"/>
      <c r="H137" s="541"/>
      <c r="I137" s="541"/>
      <c r="J137" s="541"/>
      <c r="K137" s="541"/>
      <c r="L137" s="541"/>
      <c r="M137" s="541"/>
      <c r="N137" s="541"/>
    </row>
    <row r="138" spans="1:15" ht="12.75">
      <c r="A138" s="29">
        <v>1</v>
      </c>
      <c r="B138" s="469"/>
      <c r="C138" s="17" t="s">
        <v>4326</v>
      </c>
      <c r="D138" s="88" t="s">
        <v>661</v>
      </c>
      <c r="E138" s="17" t="s">
        <v>662</v>
      </c>
      <c r="F138" s="17" t="str">
        <f>"0,6254"</f>
        <v>0,6254</v>
      </c>
      <c r="G138" s="17" t="s">
        <v>31</v>
      </c>
      <c r="H138" s="83" t="s">
        <v>291</v>
      </c>
      <c r="I138" s="142" t="s">
        <v>89</v>
      </c>
      <c r="J138" s="138" t="s">
        <v>551</v>
      </c>
      <c r="K138" s="121" t="s">
        <v>480</v>
      </c>
      <c r="L138" s="101"/>
      <c r="M138" s="44">
        <v>135</v>
      </c>
      <c r="N138" s="35" t="str">
        <f>"84,4290"</f>
        <v>84,4290</v>
      </c>
      <c r="O138" s="17" t="s">
        <v>2076</v>
      </c>
    </row>
    <row r="139" spans="1:15" ht="12.75">
      <c r="A139" s="29">
        <v>2</v>
      </c>
      <c r="B139" s="469">
        <v>9</v>
      </c>
      <c r="C139" s="18" t="s">
        <v>4327</v>
      </c>
      <c r="D139" s="93" t="s">
        <v>664</v>
      </c>
      <c r="E139" s="18" t="s">
        <v>665</v>
      </c>
      <c r="F139" s="18" t="str">
        <f>"0,6263"</f>
        <v>0,6263</v>
      </c>
      <c r="G139" s="18" t="s">
        <v>54</v>
      </c>
      <c r="H139" s="92" t="s">
        <v>2254</v>
      </c>
      <c r="I139" s="143" t="s">
        <v>416</v>
      </c>
      <c r="J139" s="140" t="s">
        <v>57</v>
      </c>
      <c r="K139" s="149" t="s">
        <v>666</v>
      </c>
      <c r="L139" s="102"/>
      <c r="M139" s="40">
        <v>77.5</v>
      </c>
      <c r="N139" s="38" t="str">
        <f>"48,5382"</f>
        <v>48,5382</v>
      </c>
      <c r="O139" s="18" t="s">
        <v>51</v>
      </c>
    </row>
    <row r="140" spans="1:15" ht="12.75">
      <c r="A140" s="29">
        <v>1</v>
      </c>
      <c r="B140" s="469">
        <v>24</v>
      </c>
      <c r="C140" s="18" t="s">
        <v>4328</v>
      </c>
      <c r="D140" s="93" t="s">
        <v>668</v>
      </c>
      <c r="E140" s="18" t="s">
        <v>669</v>
      </c>
      <c r="F140" s="18" t="str">
        <f>"0,6250"</f>
        <v>0,6250</v>
      </c>
      <c r="G140" s="18" t="s">
        <v>130</v>
      </c>
      <c r="H140" s="18" t="s">
        <v>347</v>
      </c>
      <c r="I140" s="140" t="s">
        <v>153</v>
      </c>
      <c r="J140" s="140" t="s">
        <v>269</v>
      </c>
      <c r="K140" s="47" t="s">
        <v>127</v>
      </c>
      <c r="L140" s="39"/>
      <c r="M140" s="40">
        <v>177.5</v>
      </c>
      <c r="N140" s="38" t="str">
        <f>"110,9375"</f>
        <v>110,9375</v>
      </c>
      <c r="O140" s="18" t="s">
        <v>51</v>
      </c>
    </row>
    <row r="141" spans="1:15" ht="12.75">
      <c r="A141" s="29">
        <v>1</v>
      </c>
      <c r="B141" s="469">
        <v>36</v>
      </c>
      <c r="C141" s="18" t="s">
        <v>4329</v>
      </c>
      <c r="D141" s="93" t="s">
        <v>671</v>
      </c>
      <c r="E141" s="18" t="s">
        <v>186</v>
      </c>
      <c r="F141" s="18" t="str">
        <f>"0,6111"</f>
        <v>0,6111</v>
      </c>
      <c r="G141" s="18" t="s">
        <v>148</v>
      </c>
      <c r="H141" s="18" t="s">
        <v>149</v>
      </c>
      <c r="I141" s="140" t="s">
        <v>190</v>
      </c>
      <c r="J141" s="140" t="s">
        <v>192</v>
      </c>
      <c r="K141" s="47" t="s">
        <v>237</v>
      </c>
      <c r="L141" s="39"/>
      <c r="M141" s="40">
        <v>215</v>
      </c>
      <c r="N141" s="38" t="str">
        <f>"131,3865"</f>
        <v>131,3865</v>
      </c>
      <c r="O141" s="18" t="s">
        <v>51</v>
      </c>
    </row>
    <row r="142" spans="1:15" ht="12.75">
      <c r="A142" s="29">
        <v>2</v>
      </c>
      <c r="B142" s="469">
        <v>21</v>
      </c>
      <c r="C142" s="18" t="s">
        <v>4269</v>
      </c>
      <c r="D142" s="93" t="s">
        <v>672</v>
      </c>
      <c r="E142" s="18" t="s">
        <v>673</v>
      </c>
      <c r="F142" s="18" t="str">
        <f>"0,6279"</f>
        <v>0,6279</v>
      </c>
      <c r="G142" s="18" t="s">
        <v>125</v>
      </c>
      <c r="H142" s="18" t="s">
        <v>267</v>
      </c>
      <c r="I142" s="140" t="s">
        <v>153</v>
      </c>
      <c r="J142" s="140" t="s">
        <v>126</v>
      </c>
      <c r="K142" s="140" t="s">
        <v>127</v>
      </c>
      <c r="L142" s="47" t="s">
        <v>350</v>
      </c>
      <c r="M142" s="40">
        <v>180</v>
      </c>
      <c r="N142" s="38" t="str">
        <f>"113,0220"</f>
        <v>113,0220</v>
      </c>
      <c r="O142" s="18" t="s">
        <v>674</v>
      </c>
    </row>
    <row r="143" spans="1:15" ht="12.75">
      <c r="A143" s="29">
        <v>3</v>
      </c>
      <c r="B143" s="469">
        <v>20</v>
      </c>
      <c r="C143" s="18" t="s">
        <v>4330</v>
      </c>
      <c r="D143" s="93" t="s">
        <v>675</v>
      </c>
      <c r="E143" s="18" t="s">
        <v>676</v>
      </c>
      <c r="F143" s="18" t="str">
        <f>"0,6144"</f>
        <v>0,6144</v>
      </c>
      <c r="G143" s="18" t="s">
        <v>161</v>
      </c>
      <c r="H143" s="18" t="s">
        <v>162</v>
      </c>
      <c r="I143" s="140" t="s">
        <v>77</v>
      </c>
      <c r="J143" s="140" t="s">
        <v>126</v>
      </c>
      <c r="K143" s="47" t="s">
        <v>175</v>
      </c>
      <c r="L143" s="39"/>
      <c r="M143" s="40">
        <v>175</v>
      </c>
      <c r="N143" s="38" t="str">
        <f>"107,5200"</f>
        <v>107,5200</v>
      </c>
      <c r="O143" s="18" t="s">
        <v>1667</v>
      </c>
    </row>
    <row r="144" spans="1:15" ht="12.75">
      <c r="A144" s="29">
        <v>4</v>
      </c>
      <c r="B144" s="469"/>
      <c r="C144" s="18" t="s">
        <v>4331</v>
      </c>
      <c r="D144" s="93" t="s">
        <v>678</v>
      </c>
      <c r="E144" s="18" t="s">
        <v>679</v>
      </c>
      <c r="F144" s="18" t="str">
        <f>"0,6174"</f>
        <v>0,6174</v>
      </c>
      <c r="G144" s="18" t="s">
        <v>31</v>
      </c>
      <c r="H144" s="18" t="s">
        <v>222</v>
      </c>
      <c r="I144" s="140" t="s">
        <v>447</v>
      </c>
      <c r="J144" s="47" t="s">
        <v>480</v>
      </c>
      <c r="K144" s="140" t="s">
        <v>480</v>
      </c>
      <c r="L144" s="39"/>
      <c r="M144" s="40">
        <v>140</v>
      </c>
      <c r="N144" s="38" t="str">
        <f>"86,4360"</f>
        <v>86,4360</v>
      </c>
      <c r="O144" s="18" t="s">
        <v>51</v>
      </c>
    </row>
    <row r="145" spans="1:15" ht="12.75">
      <c r="A145" s="29">
        <v>5</v>
      </c>
      <c r="B145" s="469"/>
      <c r="C145" s="18" t="s">
        <v>4332</v>
      </c>
      <c r="D145" s="93" t="s">
        <v>680</v>
      </c>
      <c r="E145" s="18" t="s">
        <v>681</v>
      </c>
      <c r="F145" s="18" t="str">
        <f>"0,6113"</f>
        <v>0,6113</v>
      </c>
      <c r="G145" s="18" t="s">
        <v>31</v>
      </c>
      <c r="H145" s="18" t="s">
        <v>682</v>
      </c>
      <c r="I145" s="47" t="s">
        <v>551</v>
      </c>
      <c r="J145" s="140" t="s">
        <v>551</v>
      </c>
      <c r="K145" s="140" t="s">
        <v>480</v>
      </c>
      <c r="L145" s="39"/>
      <c r="M145" s="40">
        <v>140</v>
      </c>
      <c r="N145" s="38" t="str">
        <f>"85,5820"</f>
        <v>85,5820</v>
      </c>
      <c r="O145" s="18" t="s">
        <v>2077</v>
      </c>
    </row>
    <row r="146" spans="1:15" ht="12.75">
      <c r="A146" s="29">
        <v>6</v>
      </c>
      <c r="B146" s="469"/>
      <c r="C146" s="18" t="s">
        <v>4681</v>
      </c>
      <c r="D146" s="93" t="s">
        <v>683</v>
      </c>
      <c r="E146" s="18" t="s">
        <v>684</v>
      </c>
      <c r="F146" s="18" t="str">
        <f>"0,6223"</f>
        <v>0,6223</v>
      </c>
      <c r="G146" s="18" t="s">
        <v>31</v>
      </c>
      <c r="H146" s="79" t="s">
        <v>2128</v>
      </c>
      <c r="I146" s="140" t="s">
        <v>33</v>
      </c>
      <c r="J146" s="47" t="s">
        <v>303</v>
      </c>
      <c r="K146" s="47" t="s">
        <v>471</v>
      </c>
      <c r="L146" s="39"/>
      <c r="M146" s="40">
        <v>95</v>
      </c>
      <c r="N146" s="38" t="s">
        <v>2189</v>
      </c>
      <c r="O146" s="18" t="s">
        <v>51</v>
      </c>
    </row>
    <row r="147" spans="2:15" ht="12.75">
      <c r="B147" s="469"/>
      <c r="C147" s="18" t="s">
        <v>685</v>
      </c>
      <c r="D147" s="93" t="s">
        <v>686</v>
      </c>
      <c r="E147" s="18" t="s">
        <v>687</v>
      </c>
      <c r="F147" s="18" t="str">
        <f>"0,6088"</f>
        <v>0,6088</v>
      </c>
      <c r="G147" s="18" t="s">
        <v>688</v>
      </c>
      <c r="H147" s="18" t="s">
        <v>603</v>
      </c>
      <c r="I147" s="47" t="s">
        <v>175</v>
      </c>
      <c r="J147" s="47" t="s">
        <v>175</v>
      </c>
      <c r="K147" s="47" t="s">
        <v>175</v>
      </c>
      <c r="L147" s="39"/>
      <c r="M147" s="52">
        <v>0</v>
      </c>
      <c r="N147" s="38" t="s">
        <v>1639</v>
      </c>
      <c r="O147" s="18" t="s">
        <v>2078</v>
      </c>
    </row>
    <row r="148" spans="1:15" ht="12.75">
      <c r="A148" s="29">
        <v>1</v>
      </c>
      <c r="B148" s="469">
        <v>24</v>
      </c>
      <c r="C148" s="18" t="s">
        <v>4269</v>
      </c>
      <c r="D148" s="93" t="s">
        <v>689</v>
      </c>
      <c r="E148" s="18" t="s">
        <v>673</v>
      </c>
      <c r="F148" s="18" t="str">
        <f>"0,6279"</f>
        <v>0,6279</v>
      </c>
      <c r="G148" s="18" t="s">
        <v>125</v>
      </c>
      <c r="H148" s="18" t="s">
        <v>267</v>
      </c>
      <c r="I148" s="140" t="s">
        <v>126</v>
      </c>
      <c r="J148" s="140" t="s">
        <v>127</v>
      </c>
      <c r="K148" s="47" t="s">
        <v>350</v>
      </c>
      <c r="L148" s="47"/>
      <c r="M148" s="40">
        <v>180</v>
      </c>
      <c r="N148" s="38" t="str">
        <f>"117,9950"</f>
        <v>117,9950</v>
      </c>
      <c r="O148" s="18" t="s">
        <v>2256</v>
      </c>
    </row>
    <row r="149" spans="1:15" ht="12.75">
      <c r="A149" s="29">
        <v>2</v>
      </c>
      <c r="B149" s="469"/>
      <c r="C149" s="18" t="s">
        <v>4333</v>
      </c>
      <c r="D149" s="93" t="s">
        <v>690</v>
      </c>
      <c r="E149" s="18" t="s">
        <v>691</v>
      </c>
      <c r="F149" s="18" t="str">
        <f>"0,6301"</f>
        <v>0,6301</v>
      </c>
      <c r="G149" s="18" t="s">
        <v>31</v>
      </c>
      <c r="H149" s="18" t="s">
        <v>692</v>
      </c>
      <c r="I149" s="47" t="s">
        <v>297</v>
      </c>
      <c r="J149" s="47" t="s">
        <v>297</v>
      </c>
      <c r="K149" s="140" t="s">
        <v>297</v>
      </c>
      <c r="L149" s="39"/>
      <c r="M149" s="40">
        <v>152.5</v>
      </c>
      <c r="N149" s="38" t="str">
        <f>"96,5707"</f>
        <v>96,5707</v>
      </c>
      <c r="O149" s="18" t="s">
        <v>51</v>
      </c>
    </row>
    <row r="150" spans="1:15" ht="12.75">
      <c r="A150" s="29">
        <v>3</v>
      </c>
      <c r="B150" s="469">
        <v>8</v>
      </c>
      <c r="C150" s="18" t="s">
        <v>4334</v>
      </c>
      <c r="D150" s="93" t="s">
        <v>693</v>
      </c>
      <c r="E150" s="18" t="s">
        <v>694</v>
      </c>
      <c r="F150" s="18" t="str">
        <f>"0,6158"</f>
        <v>0,6158</v>
      </c>
      <c r="G150" s="18" t="s">
        <v>14</v>
      </c>
      <c r="H150" s="18" t="s">
        <v>1903</v>
      </c>
      <c r="I150" s="47" t="s">
        <v>480</v>
      </c>
      <c r="J150" s="140" t="s">
        <v>480</v>
      </c>
      <c r="K150" s="47" t="s">
        <v>132</v>
      </c>
      <c r="L150" s="39"/>
      <c r="M150" s="40">
        <v>140</v>
      </c>
      <c r="N150" s="38" t="str">
        <f>"87,4190"</f>
        <v>87,4190</v>
      </c>
      <c r="O150" s="18" t="s">
        <v>51</v>
      </c>
    </row>
    <row r="151" spans="1:15" ht="12.75">
      <c r="A151" s="29">
        <v>1</v>
      </c>
      <c r="B151" s="469">
        <v>24</v>
      </c>
      <c r="C151" s="18" t="s">
        <v>4335</v>
      </c>
      <c r="D151" s="93" t="s">
        <v>696</v>
      </c>
      <c r="E151" s="18" t="s">
        <v>200</v>
      </c>
      <c r="F151" s="18" t="str">
        <f>"0,6136"</f>
        <v>0,6136</v>
      </c>
      <c r="G151" s="18" t="s">
        <v>125</v>
      </c>
      <c r="H151" s="18" t="s">
        <v>697</v>
      </c>
      <c r="I151" s="47" t="s">
        <v>268</v>
      </c>
      <c r="J151" s="140" t="s">
        <v>555</v>
      </c>
      <c r="K151" s="140" t="s">
        <v>126</v>
      </c>
      <c r="L151" s="39"/>
      <c r="M151" s="40">
        <v>175</v>
      </c>
      <c r="N151" s="38" t="str">
        <f>"119,6213"</f>
        <v>119,6213</v>
      </c>
      <c r="O151" s="18" t="s">
        <v>2079</v>
      </c>
    </row>
    <row r="152" spans="1:15" ht="12.75">
      <c r="A152" s="29">
        <v>2</v>
      </c>
      <c r="B152" s="469">
        <v>9</v>
      </c>
      <c r="C152" s="18" t="s">
        <v>4336</v>
      </c>
      <c r="D152" s="93" t="s">
        <v>698</v>
      </c>
      <c r="E152" s="18" t="s">
        <v>684</v>
      </c>
      <c r="F152" s="18" t="str">
        <f>"0,6223"</f>
        <v>0,6223</v>
      </c>
      <c r="G152" s="18" t="s">
        <v>54</v>
      </c>
      <c r="H152" s="18" t="s">
        <v>1641</v>
      </c>
      <c r="I152" s="140" t="s">
        <v>447</v>
      </c>
      <c r="J152" s="140" t="s">
        <v>101</v>
      </c>
      <c r="K152" s="140" t="s">
        <v>598</v>
      </c>
      <c r="L152" s="47" t="s">
        <v>480</v>
      </c>
      <c r="M152" s="40">
        <v>137.5</v>
      </c>
      <c r="N152" s="38" t="str">
        <f>"92,2404"</f>
        <v>92,2404</v>
      </c>
      <c r="O152" s="18" t="s">
        <v>51</v>
      </c>
    </row>
    <row r="153" spans="1:15" ht="12.75">
      <c r="A153" s="29">
        <v>1</v>
      </c>
      <c r="B153" s="469"/>
      <c r="C153" s="18" t="s">
        <v>4337</v>
      </c>
      <c r="D153" s="93" t="s">
        <v>699</v>
      </c>
      <c r="E153" s="18" t="s">
        <v>700</v>
      </c>
      <c r="F153" s="18" t="str">
        <f>"0,6172"</f>
        <v>0,6172</v>
      </c>
      <c r="G153" s="18" t="s">
        <v>31</v>
      </c>
      <c r="H153" s="18" t="s">
        <v>516</v>
      </c>
      <c r="I153" s="140" t="s">
        <v>89</v>
      </c>
      <c r="J153" s="140" t="s">
        <v>480</v>
      </c>
      <c r="K153" s="140" t="s">
        <v>297</v>
      </c>
      <c r="L153" s="39"/>
      <c r="M153" s="40">
        <v>152.5</v>
      </c>
      <c r="N153" s="38" t="str">
        <f>"115,5830"</f>
        <v>115,5830</v>
      </c>
      <c r="O153" s="18" t="s">
        <v>51</v>
      </c>
    </row>
    <row r="154" spans="1:15" ht="12.75">
      <c r="A154" s="29">
        <v>2</v>
      </c>
      <c r="B154" s="469"/>
      <c r="C154" s="18" t="s">
        <v>4338</v>
      </c>
      <c r="D154" s="93" t="s">
        <v>702</v>
      </c>
      <c r="E154" s="18" t="s">
        <v>703</v>
      </c>
      <c r="F154" s="18" t="str">
        <f>"0,6209"</f>
        <v>0,6209</v>
      </c>
      <c r="G154" s="18" t="s">
        <v>31</v>
      </c>
      <c r="H154" s="18" t="s">
        <v>2147</v>
      </c>
      <c r="I154" s="140" t="s">
        <v>88</v>
      </c>
      <c r="J154" s="47" t="s">
        <v>447</v>
      </c>
      <c r="K154" s="140" t="s">
        <v>100</v>
      </c>
      <c r="L154" s="39"/>
      <c r="M154" s="40">
        <v>127.5</v>
      </c>
      <c r="N154" s="38" t="str">
        <f>"92,4644"</f>
        <v>92,4644</v>
      </c>
      <c r="O154" s="18" t="s">
        <v>51</v>
      </c>
    </row>
    <row r="155" spans="1:15" ht="12.75">
      <c r="A155" s="29">
        <v>3</v>
      </c>
      <c r="B155" s="469">
        <v>8</v>
      </c>
      <c r="C155" s="18" t="s">
        <v>4056</v>
      </c>
      <c r="D155" s="93" t="s">
        <v>705</v>
      </c>
      <c r="E155" s="18" t="s">
        <v>700</v>
      </c>
      <c r="F155" s="18" t="str">
        <f>"0,6172"</f>
        <v>0,6172</v>
      </c>
      <c r="G155" s="18" t="s">
        <v>125</v>
      </c>
      <c r="H155" s="18" t="s">
        <v>706</v>
      </c>
      <c r="I155" s="140" t="s">
        <v>88</v>
      </c>
      <c r="J155" s="140" t="s">
        <v>447</v>
      </c>
      <c r="K155" s="140" t="s">
        <v>100</v>
      </c>
      <c r="L155" s="39"/>
      <c r="M155" s="40">
        <v>127.5</v>
      </c>
      <c r="N155" s="38" t="str">
        <f>"93,4086"</f>
        <v>93,4086</v>
      </c>
      <c r="O155" s="18" t="s">
        <v>51</v>
      </c>
    </row>
    <row r="156" spans="1:15" ht="12.75">
      <c r="A156" s="29">
        <v>4</v>
      </c>
      <c r="B156" s="469"/>
      <c r="C156" s="19" t="s">
        <v>4339</v>
      </c>
      <c r="D156" s="95" t="s">
        <v>707</v>
      </c>
      <c r="E156" s="19" t="s">
        <v>708</v>
      </c>
      <c r="F156" s="19" t="str">
        <f>"0,6098"</f>
        <v>0,6098</v>
      </c>
      <c r="G156" s="19" t="s">
        <v>31</v>
      </c>
      <c r="H156" s="19" t="s">
        <v>1903</v>
      </c>
      <c r="I156" s="139" t="s">
        <v>471</v>
      </c>
      <c r="J156" s="139" t="s">
        <v>24</v>
      </c>
      <c r="K156" s="139" t="s">
        <v>25</v>
      </c>
      <c r="L156" s="42"/>
      <c r="M156" s="43">
        <v>110</v>
      </c>
      <c r="N156" s="41" t="str">
        <f>"79,6216"</f>
        <v>79,6216</v>
      </c>
      <c r="O156" s="19" t="s">
        <v>51</v>
      </c>
    </row>
    <row r="157" ht="12.75">
      <c r="B157" s="470"/>
    </row>
    <row r="158" spans="2:14" ht="15.75">
      <c r="B158" s="469"/>
      <c r="C158" s="541" t="s">
        <v>227</v>
      </c>
      <c r="D158" s="541"/>
      <c r="E158" s="541"/>
      <c r="F158" s="541"/>
      <c r="G158" s="541"/>
      <c r="H158" s="541"/>
      <c r="I158" s="541"/>
      <c r="J158" s="541"/>
      <c r="K158" s="541"/>
      <c r="L158" s="541"/>
      <c r="M158" s="541"/>
      <c r="N158" s="541"/>
    </row>
    <row r="159" spans="1:15" ht="12.75">
      <c r="A159" s="29">
        <v>1</v>
      </c>
      <c r="B159" s="469"/>
      <c r="C159" s="17" t="s">
        <v>4682</v>
      </c>
      <c r="D159" s="84" t="s">
        <v>709</v>
      </c>
      <c r="E159" s="83" t="s">
        <v>710</v>
      </c>
      <c r="F159" s="17" t="str">
        <f>"0,5986"</f>
        <v>0,5986</v>
      </c>
      <c r="G159" s="88" t="s">
        <v>31</v>
      </c>
      <c r="H159" s="17" t="s">
        <v>2049</v>
      </c>
      <c r="I159" s="138" t="s">
        <v>120</v>
      </c>
      <c r="J159" s="138" t="s">
        <v>109</v>
      </c>
      <c r="K159" s="46" t="s">
        <v>202</v>
      </c>
      <c r="L159" s="36"/>
      <c r="M159" s="44">
        <v>202.5</v>
      </c>
      <c r="N159" s="35" t="str">
        <f>"121,2165"</f>
        <v>121,2165</v>
      </c>
      <c r="O159" s="17" t="s">
        <v>51</v>
      </c>
    </row>
    <row r="160" spans="1:15" ht="12.75">
      <c r="A160" s="29">
        <v>2</v>
      </c>
      <c r="B160" s="469">
        <v>21</v>
      </c>
      <c r="C160" s="18" t="s">
        <v>4245</v>
      </c>
      <c r="D160" s="79" t="s">
        <v>711</v>
      </c>
      <c r="E160" s="92" t="s">
        <v>712</v>
      </c>
      <c r="F160" s="18" t="str">
        <f>"0,5998"</f>
        <v>0,5998</v>
      </c>
      <c r="G160" s="93" t="s">
        <v>22</v>
      </c>
      <c r="H160" s="18" t="s">
        <v>23</v>
      </c>
      <c r="I160" s="140" t="s">
        <v>153</v>
      </c>
      <c r="J160" s="140" t="s">
        <v>127</v>
      </c>
      <c r="K160" s="140" t="s">
        <v>175</v>
      </c>
      <c r="L160" s="39"/>
      <c r="M160" s="40">
        <v>185</v>
      </c>
      <c r="N160" s="38" t="str">
        <f>"110,9630"</f>
        <v>110,9630</v>
      </c>
      <c r="O160" s="18" t="s">
        <v>51</v>
      </c>
    </row>
    <row r="161" spans="1:15" ht="12.75">
      <c r="A161" s="29">
        <v>3</v>
      </c>
      <c r="B161" s="469">
        <v>20</v>
      </c>
      <c r="C161" s="18" t="s">
        <v>4683</v>
      </c>
      <c r="D161" s="79" t="s">
        <v>713</v>
      </c>
      <c r="E161" s="92" t="s">
        <v>714</v>
      </c>
      <c r="F161" s="18" t="str">
        <f>"0,6009"</f>
        <v>0,6009</v>
      </c>
      <c r="G161" s="93" t="s">
        <v>99</v>
      </c>
      <c r="H161" s="18" t="s">
        <v>152</v>
      </c>
      <c r="I161" s="140" t="s">
        <v>127</v>
      </c>
      <c r="J161" s="47" t="s">
        <v>120</v>
      </c>
      <c r="K161" s="47" t="s">
        <v>120</v>
      </c>
      <c r="L161" s="39"/>
      <c r="M161" s="40">
        <v>180</v>
      </c>
      <c r="N161" s="38" t="str">
        <f>"108,1620"</f>
        <v>108,1620</v>
      </c>
      <c r="O161" s="18" t="s">
        <v>51</v>
      </c>
    </row>
    <row r="162" spans="1:15" ht="12.75">
      <c r="A162" s="29">
        <v>4</v>
      </c>
      <c r="B162" s="469"/>
      <c r="C162" s="18" t="s">
        <v>4684</v>
      </c>
      <c r="D162" s="79" t="s">
        <v>715</v>
      </c>
      <c r="E162" s="92" t="s">
        <v>716</v>
      </c>
      <c r="F162" s="18" t="str">
        <f>"0,5978"</f>
        <v>0,5978</v>
      </c>
      <c r="G162" s="93" t="s">
        <v>31</v>
      </c>
      <c r="H162" s="18" t="s">
        <v>2144</v>
      </c>
      <c r="I162" s="140" t="s">
        <v>153</v>
      </c>
      <c r="J162" s="140" t="s">
        <v>269</v>
      </c>
      <c r="K162" s="47" t="s">
        <v>350</v>
      </c>
      <c r="L162" s="39"/>
      <c r="M162" s="40">
        <v>177.5</v>
      </c>
      <c r="N162" s="38" t="str">
        <f>"106,1095"</f>
        <v>106,1095</v>
      </c>
      <c r="O162" s="18" t="s">
        <v>51</v>
      </c>
    </row>
    <row r="163" spans="1:15" ht="12.75">
      <c r="A163" s="29">
        <v>5</v>
      </c>
      <c r="B163" s="469">
        <v>6</v>
      </c>
      <c r="C163" s="18" t="s">
        <v>4685</v>
      </c>
      <c r="D163" s="79" t="s">
        <v>717</v>
      </c>
      <c r="E163" s="92" t="s">
        <v>718</v>
      </c>
      <c r="F163" s="18" t="str">
        <f>"0,5897"</f>
        <v>0,5897</v>
      </c>
      <c r="G163" s="93" t="s">
        <v>130</v>
      </c>
      <c r="H163" s="18" t="s">
        <v>719</v>
      </c>
      <c r="I163" s="140" t="s">
        <v>811</v>
      </c>
      <c r="J163" s="140" t="s">
        <v>297</v>
      </c>
      <c r="K163" s="47" t="s">
        <v>63</v>
      </c>
      <c r="L163" s="39"/>
      <c r="M163" s="40">
        <v>152.5</v>
      </c>
      <c r="N163" s="38" t="str">
        <f>"89,9292"</f>
        <v>89,9292</v>
      </c>
      <c r="O163" s="18" t="s">
        <v>51</v>
      </c>
    </row>
    <row r="164" spans="1:15" ht="12.75">
      <c r="A164" s="29">
        <v>6</v>
      </c>
      <c r="B164" s="469">
        <v>5</v>
      </c>
      <c r="C164" s="18" t="s">
        <v>4686</v>
      </c>
      <c r="D164" s="79" t="s">
        <v>720</v>
      </c>
      <c r="E164" s="92" t="s">
        <v>716</v>
      </c>
      <c r="F164" s="18" t="str">
        <f>"0,5978"</f>
        <v>0,5978</v>
      </c>
      <c r="G164" s="93" t="s">
        <v>431</v>
      </c>
      <c r="H164" s="18" t="s">
        <v>1903</v>
      </c>
      <c r="I164" s="140" t="s">
        <v>131</v>
      </c>
      <c r="J164" s="140" t="s">
        <v>132</v>
      </c>
      <c r="K164" s="39"/>
      <c r="L164" s="39"/>
      <c r="M164" s="40">
        <v>150</v>
      </c>
      <c r="N164" s="38" t="str">
        <f>"89,6700"</f>
        <v>89,6700</v>
      </c>
      <c r="O164" s="18" t="s">
        <v>51</v>
      </c>
    </row>
    <row r="165" spans="1:15" ht="12.75">
      <c r="A165" s="29">
        <v>7</v>
      </c>
      <c r="B165" s="469">
        <v>4</v>
      </c>
      <c r="C165" s="18" t="s">
        <v>4687</v>
      </c>
      <c r="D165" s="79" t="s">
        <v>721</v>
      </c>
      <c r="E165" s="92" t="s">
        <v>722</v>
      </c>
      <c r="F165" s="18" t="str">
        <f>"0,6024"</f>
        <v>0,6024</v>
      </c>
      <c r="G165" s="93" t="s">
        <v>130</v>
      </c>
      <c r="H165" s="18" t="s">
        <v>2251</v>
      </c>
      <c r="I165" s="140" t="s">
        <v>447</v>
      </c>
      <c r="J165" s="56" t="s">
        <v>101</v>
      </c>
      <c r="K165" s="47" t="s">
        <v>101</v>
      </c>
      <c r="L165" s="39"/>
      <c r="M165" s="40">
        <v>125</v>
      </c>
      <c r="N165" s="38" t="s">
        <v>2190</v>
      </c>
      <c r="O165" s="18" t="s">
        <v>1884</v>
      </c>
    </row>
    <row r="166" spans="2:15" ht="12.75">
      <c r="B166" s="469"/>
      <c r="C166" s="18" t="s">
        <v>3267</v>
      </c>
      <c r="D166" s="79" t="s">
        <v>3268</v>
      </c>
      <c r="E166" s="92" t="s">
        <v>285</v>
      </c>
      <c r="F166" s="18" t="str">
        <f>"0,5946"</f>
        <v>0,5946</v>
      </c>
      <c r="G166" s="93" t="s">
        <v>31</v>
      </c>
      <c r="H166" s="18" t="s">
        <v>1903</v>
      </c>
      <c r="I166" s="47" t="s">
        <v>76</v>
      </c>
      <c r="J166" s="47" t="s">
        <v>76</v>
      </c>
      <c r="K166" s="47"/>
      <c r="L166" s="39"/>
      <c r="M166" s="40">
        <v>0</v>
      </c>
      <c r="N166" s="38" t="s">
        <v>1639</v>
      </c>
      <c r="O166" s="18" t="s">
        <v>51</v>
      </c>
    </row>
    <row r="167" spans="1:15" ht="12.75">
      <c r="A167" s="29">
        <v>1</v>
      </c>
      <c r="B167" s="469"/>
      <c r="C167" s="18" t="s">
        <v>4688</v>
      </c>
      <c r="D167" s="79" t="s">
        <v>723</v>
      </c>
      <c r="E167" s="92" t="s">
        <v>724</v>
      </c>
      <c r="F167" s="18" t="str">
        <f>"0,5950"</f>
        <v>0,5950</v>
      </c>
      <c r="G167" s="93" t="s">
        <v>31</v>
      </c>
      <c r="H167" s="18" t="s">
        <v>149</v>
      </c>
      <c r="I167" s="140" t="s">
        <v>64</v>
      </c>
      <c r="J167" s="47" t="s">
        <v>183</v>
      </c>
      <c r="K167" s="47" t="s">
        <v>183</v>
      </c>
      <c r="L167" s="39"/>
      <c r="M167" s="40">
        <v>165</v>
      </c>
      <c r="N167" s="425" t="s">
        <v>4094</v>
      </c>
      <c r="O167" s="18" t="s">
        <v>51</v>
      </c>
    </row>
    <row r="168" spans="1:15" ht="12.75">
      <c r="A168" s="29">
        <v>1</v>
      </c>
      <c r="B168" s="469"/>
      <c r="C168" s="18" t="s">
        <v>4689</v>
      </c>
      <c r="D168" s="79" t="s">
        <v>725</v>
      </c>
      <c r="E168" s="92" t="s">
        <v>726</v>
      </c>
      <c r="F168" s="18" t="str">
        <f>"0,5939"</f>
        <v>0,5939</v>
      </c>
      <c r="G168" s="93" t="s">
        <v>31</v>
      </c>
      <c r="H168" s="18" t="s">
        <v>1903</v>
      </c>
      <c r="I168" s="140" t="s">
        <v>183</v>
      </c>
      <c r="J168" s="140" t="s">
        <v>555</v>
      </c>
      <c r="K168" s="47" t="s">
        <v>269</v>
      </c>
      <c r="L168" s="39"/>
      <c r="M168" s="40">
        <v>172.5</v>
      </c>
      <c r="N168" s="38" t="str">
        <f>"123,6544"</f>
        <v>123,6544</v>
      </c>
      <c r="O168" s="18" t="s">
        <v>51</v>
      </c>
    </row>
    <row r="169" spans="1:15" ht="12.75">
      <c r="A169" s="29">
        <v>1</v>
      </c>
      <c r="B169" s="469"/>
      <c r="C169" s="19" t="s">
        <v>4690</v>
      </c>
      <c r="D169" s="98" t="s">
        <v>727</v>
      </c>
      <c r="E169" s="94" t="s">
        <v>260</v>
      </c>
      <c r="F169" s="19" t="str">
        <f>"0,6002"</f>
        <v>0,6002</v>
      </c>
      <c r="G169" s="95" t="s">
        <v>31</v>
      </c>
      <c r="H169" s="19" t="s">
        <v>69</v>
      </c>
      <c r="I169" s="139" t="s">
        <v>447</v>
      </c>
      <c r="J169" s="139" t="s">
        <v>89</v>
      </c>
      <c r="K169" s="48" t="s">
        <v>101</v>
      </c>
      <c r="L169" s="42"/>
      <c r="M169" s="43">
        <v>130</v>
      </c>
      <c r="N169" s="41" t="str">
        <f>"107,6759"</f>
        <v>107,6759</v>
      </c>
      <c r="O169" s="19" t="s">
        <v>728</v>
      </c>
    </row>
    <row r="170" ht="12.75">
      <c r="B170" s="470"/>
    </row>
    <row r="171" spans="2:14" ht="15.75">
      <c r="B171" s="469"/>
      <c r="C171" s="541" t="s">
        <v>304</v>
      </c>
      <c r="D171" s="541"/>
      <c r="E171" s="541"/>
      <c r="F171" s="541"/>
      <c r="G171" s="541"/>
      <c r="H171" s="541"/>
      <c r="I171" s="541"/>
      <c r="J171" s="541"/>
      <c r="K171" s="541"/>
      <c r="L171" s="541"/>
      <c r="M171" s="541"/>
      <c r="N171" s="541"/>
    </row>
    <row r="172" spans="1:15" ht="12.75">
      <c r="A172" s="29">
        <v>1</v>
      </c>
      <c r="B172" s="469">
        <v>30</v>
      </c>
      <c r="C172" s="17" t="s">
        <v>4691</v>
      </c>
      <c r="D172" s="17" t="s">
        <v>739</v>
      </c>
      <c r="E172" s="83" t="s">
        <v>740</v>
      </c>
      <c r="F172" s="17" t="str">
        <f>"0,5839"</f>
        <v>0,5839</v>
      </c>
      <c r="G172" s="84" t="s">
        <v>22</v>
      </c>
      <c r="H172" s="17" t="s">
        <v>23</v>
      </c>
      <c r="I172" s="142" t="s">
        <v>237</v>
      </c>
      <c r="J172" s="46" t="s">
        <v>312</v>
      </c>
      <c r="K172" s="121" t="s">
        <v>312</v>
      </c>
      <c r="L172" s="86"/>
      <c r="M172" s="44">
        <v>220</v>
      </c>
      <c r="N172" s="87" t="s">
        <v>2187</v>
      </c>
      <c r="O172" s="17" t="s">
        <v>2081</v>
      </c>
    </row>
    <row r="173" spans="1:15" ht="12.75">
      <c r="A173" s="29">
        <v>2</v>
      </c>
      <c r="B173" s="469">
        <v>21</v>
      </c>
      <c r="C173" s="18" t="s">
        <v>4626</v>
      </c>
      <c r="D173" s="18" t="s">
        <v>742</v>
      </c>
      <c r="E173" s="92" t="s">
        <v>743</v>
      </c>
      <c r="F173" s="18" t="str">
        <f>"0,5786"</f>
        <v>0,5786</v>
      </c>
      <c r="G173" s="79" t="s">
        <v>14</v>
      </c>
      <c r="H173" s="18" t="s">
        <v>1903</v>
      </c>
      <c r="I173" s="143" t="s">
        <v>176</v>
      </c>
      <c r="J173" s="47" t="s">
        <v>109</v>
      </c>
      <c r="K173" s="103" t="s">
        <v>109</v>
      </c>
      <c r="L173" s="81"/>
      <c r="M173" s="52">
        <v>192.5</v>
      </c>
      <c r="N173" s="82" t="s">
        <v>2202</v>
      </c>
      <c r="O173" s="18" t="s">
        <v>51</v>
      </c>
    </row>
    <row r="174" spans="1:15" ht="12.75">
      <c r="A174" s="29">
        <v>3</v>
      </c>
      <c r="B174" s="469">
        <v>8</v>
      </c>
      <c r="C174" s="18" t="s">
        <v>4627</v>
      </c>
      <c r="D174" s="18" t="s">
        <v>730</v>
      </c>
      <c r="E174" s="92" t="s">
        <v>731</v>
      </c>
      <c r="F174" s="18" t="str">
        <f>"0,5778"</f>
        <v>0,5778</v>
      </c>
      <c r="G174" s="79" t="s">
        <v>148</v>
      </c>
      <c r="H174" s="18" t="s">
        <v>149</v>
      </c>
      <c r="I174" s="143" t="s">
        <v>64</v>
      </c>
      <c r="J174" s="140" t="s">
        <v>153</v>
      </c>
      <c r="K174" s="149" t="s">
        <v>126</v>
      </c>
      <c r="L174" s="81"/>
      <c r="M174" s="40">
        <v>175</v>
      </c>
      <c r="N174" s="82" t="str">
        <f>"101,1150"</f>
        <v>101,1150</v>
      </c>
      <c r="O174" s="18" t="s">
        <v>51</v>
      </c>
    </row>
    <row r="175" spans="1:15" ht="12.75">
      <c r="A175" s="29">
        <v>4</v>
      </c>
      <c r="B175" s="469"/>
      <c r="C175" s="18" t="s">
        <v>4692</v>
      </c>
      <c r="D175" s="18" t="s">
        <v>732</v>
      </c>
      <c r="E175" s="92" t="s">
        <v>733</v>
      </c>
      <c r="F175" s="18" t="str">
        <f>"0,5743"</f>
        <v>0,5743</v>
      </c>
      <c r="G175" s="79" t="s">
        <v>2146</v>
      </c>
      <c r="H175" s="18" t="s">
        <v>2147</v>
      </c>
      <c r="I175" s="143" t="s">
        <v>64</v>
      </c>
      <c r="J175" s="140" t="s">
        <v>153</v>
      </c>
      <c r="K175" s="149" t="s">
        <v>555</v>
      </c>
      <c r="L175" s="81"/>
      <c r="M175" s="40">
        <v>172.5</v>
      </c>
      <c r="N175" s="82" t="str">
        <f>"99,0667"</f>
        <v>99,0667</v>
      </c>
      <c r="O175" s="18" t="s">
        <v>51</v>
      </c>
    </row>
    <row r="176" spans="1:15" ht="12.75">
      <c r="A176" s="29">
        <v>5</v>
      </c>
      <c r="B176" s="469"/>
      <c r="C176" s="18" t="s">
        <v>4693</v>
      </c>
      <c r="D176" s="18" t="s">
        <v>734</v>
      </c>
      <c r="E176" s="92" t="s">
        <v>735</v>
      </c>
      <c r="F176" s="18" t="str">
        <f>"0,5745"</f>
        <v>0,5745</v>
      </c>
      <c r="G176" s="79" t="s">
        <v>31</v>
      </c>
      <c r="H176" s="18" t="s">
        <v>119</v>
      </c>
      <c r="I176" s="143" t="s">
        <v>297</v>
      </c>
      <c r="J176" s="140" t="s">
        <v>64</v>
      </c>
      <c r="K176" s="149" t="s">
        <v>153</v>
      </c>
      <c r="L176" s="81"/>
      <c r="M176" s="40">
        <v>170</v>
      </c>
      <c r="N176" s="82" t="str">
        <f>"97,6650"</f>
        <v>97,6650</v>
      </c>
      <c r="O176" s="18" t="s">
        <v>2080</v>
      </c>
    </row>
    <row r="177" spans="1:15" ht="12.75">
      <c r="A177" s="29">
        <v>6</v>
      </c>
      <c r="B177" s="469"/>
      <c r="C177" s="18" t="s">
        <v>4694</v>
      </c>
      <c r="D177" s="18" t="s">
        <v>745</v>
      </c>
      <c r="E177" s="92" t="s">
        <v>746</v>
      </c>
      <c r="F177" s="18" t="str">
        <f>"0,5724"</f>
        <v>0,5724</v>
      </c>
      <c r="G177" s="79" t="s">
        <v>31</v>
      </c>
      <c r="H177" s="18" t="s">
        <v>1903</v>
      </c>
      <c r="I177" s="143" t="s">
        <v>63</v>
      </c>
      <c r="J177" s="47" t="s">
        <v>269</v>
      </c>
      <c r="K177" s="103" t="s">
        <v>269</v>
      </c>
      <c r="L177" s="81"/>
      <c r="M177" s="40">
        <v>155</v>
      </c>
      <c r="N177" s="82" t="s">
        <v>2203</v>
      </c>
      <c r="O177" s="18" t="s">
        <v>1840</v>
      </c>
    </row>
    <row r="178" spans="1:15" ht="12.75">
      <c r="A178" s="29">
        <v>7</v>
      </c>
      <c r="B178" s="469"/>
      <c r="C178" s="18" t="s">
        <v>4695</v>
      </c>
      <c r="D178" s="18" t="s">
        <v>736</v>
      </c>
      <c r="E178" s="92" t="s">
        <v>737</v>
      </c>
      <c r="F178" s="18" t="str">
        <f>"0,5846"</f>
        <v>0,5846</v>
      </c>
      <c r="G178" s="79" t="s">
        <v>31</v>
      </c>
      <c r="H178" s="18" t="s">
        <v>1903</v>
      </c>
      <c r="I178" s="143" t="s">
        <v>131</v>
      </c>
      <c r="J178" s="140" t="s">
        <v>297</v>
      </c>
      <c r="K178" s="103" t="s">
        <v>63</v>
      </c>
      <c r="L178" s="81"/>
      <c r="M178" s="40">
        <v>152.5</v>
      </c>
      <c r="N178" s="82" t="str">
        <f>"89,1515"</f>
        <v>89,1515</v>
      </c>
      <c r="O178" s="18" t="s">
        <v>51</v>
      </c>
    </row>
    <row r="179" spans="1:15" ht="12.75">
      <c r="A179" s="29">
        <v>8</v>
      </c>
      <c r="B179" s="469"/>
      <c r="C179" s="18" t="s">
        <v>4340</v>
      </c>
      <c r="D179" s="18" t="s">
        <v>3269</v>
      </c>
      <c r="E179" s="257" t="s">
        <v>340</v>
      </c>
      <c r="F179" s="256" t="str">
        <f>"0,5698"</f>
        <v>0,5698</v>
      </c>
      <c r="G179" s="79" t="s">
        <v>31</v>
      </c>
      <c r="H179" s="18" t="s">
        <v>1903</v>
      </c>
      <c r="I179" s="143" t="s">
        <v>89</v>
      </c>
      <c r="J179" s="140" t="s">
        <v>136</v>
      </c>
      <c r="K179" s="103" t="s">
        <v>297</v>
      </c>
      <c r="L179" s="81"/>
      <c r="M179" s="40">
        <v>142.5</v>
      </c>
      <c r="N179" s="82" t="s">
        <v>3270</v>
      </c>
      <c r="O179" s="18" t="s">
        <v>51</v>
      </c>
    </row>
    <row r="180" spans="1:15" ht="12.75">
      <c r="A180" s="29">
        <v>1</v>
      </c>
      <c r="B180" s="469"/>
      <c r="C180" s="18" t="s">
        <v>4696</v>
      </c>
      <c r="D180" s="18" t="s">
        <v>748</v>
      </c>
      <c r="E180" s="92" t="s">
        <v>749</v>
      </c>
      <c r="F180" s="18" t="str">
        <f>"0,5758"</f>
        <v>0,5758</v>
      </c>
      <c r="G180" s="79" t="s">
        <v>31</v>
      </c>
      <c r="H180" s="18" t="s">
        <v>1903</v>
      </c>
      <c r="I180" s="143" t="s">
        <v>77</v>
      </c>
      <c r="J180" s="140" t="s">
        <v>268</v>
      </c>
      <c r="K180" s="103" t="s">
        <v>555</v>
      </c>
      <c r="L180" s="81"/>
      <c r="M180" s="40">
        <v>167.5</v>
      </c>
      <c r="N180" s="82" t="str">
        <f>"114,4820"</f>
        <v>114,4820</v>
      </c>
      <c r="O180" s="18" t="s">
        <v>51</v>
      </c>
    </row>
    <row r="181" spans="1:15" ht="12.75">
      <c r="A181" s="29">
        <v>1</v>
      </c>
      <c r="B181" s="469"/>
      <c r="C181" s="19" t="s">
        <v>4664</v>
      </c>
      <c r="D181" s="19" t="s">
        <v>751</v>
      </c>
      <c r="E181" s="94" t="s">
        <v>752</v>
      </c>
      <c r="F181" s="19" t="str">
        <f>"0,5711"</f>
        <v>0,5711</v>
      </c>
      <c r="G181" s="98" t="s">
        <v>31</v>
      </c>
      <c r="H181" s="19" t="s">
        <v>465</v>
      </c>
      <c r="I181" s="144" t="s">
        <v>64</v>
      </c>
      <c r="J181" s="139" t="s">
        <v>183</v>
      </c>
      <c r="K181" s="112" t="s">
        <v>153</v>
      </c>
      <c r="L181" s="99"/>
      <c r="M181" s="43">
        <v>165</v>
      </c>
      <c r="N181" s="100" t="str">
        <f>"130,0395"</f>
        <v>130,0395</v>
      </c>
      <c r="O181" s="19" t="s">
        <v>1953</v>
      </c>
    </row>
    <row r="182" ht="12.75">
      <c r="B182" s="470"/>
    </row>
    <row r="183" spans="2:14" ht="15.75">
      <c r="B183" s="469"/>
      <c r="C183" s="541" t="s">
        <v>355</v>
      </c>
      <c r="D183" s="541"/>
      <c r="E183" s="541"/>
      <c r="F183" s="541"/>
      <c r="G183" s="541"/>
      <c r="H183" s="541"/>
      <c r="I183" s="541"/>
      <c r="J183" s="541"/>
      <c r="K183" s="541"/>
      <c r="L183" s="541"/>
      <c r="M183" s="541"/>
      <c r="N183" s="541"/>
    </row>
    <row r="184" spans="1:15" ht="12.75">
      <c r="A184" s="29">
        <v>1</v>
      </c>
      <c r="B184" s="469">
        <v>24</v>
      </c>
      <c r="C184" s="17" t="s">
        <v>4697</v>
      </c>
      <c r="D184" s="17" t="s">
        <v>753</v>
      </c>
      <c r="E184" s="17" t="s">
        <v>754</v>
      </c>
      <c r="F184" s="17" t="str">
        <f>"0,5648"</f>
        <v>0,5648</v>
      </c>
      <c r="G184" s="17" t="s">
        <v>431</v>
      </c>
      <c r="H184" s="83" t="s">
        <v>1903</v>
      </c>
      <c r="I184" s="142" t="s">
        <v>190</v>
      </c>
      <c r="J184" s="138" t="s">
        <v>121</v>
      </c>
      <c r="K184" s="101"/>
      <c r="L184" s="101"/>
      <c r="M184" s="44">
        <v>205</v>
      </c>
      <c r="N184" s="35" t="str">
        <f>"115,7840"</f>
        <v>115,7840</v>
      </c>
      <c r="O184" s="17" t="s">
        <v>1911</v>
      </c>
    </row>
    <row r="185" spans="1:15" ht="12.75">
      <c r="A185" s="29">
        <v>2</v>
      </c>
      <c r="B185" s="469"/>
      <c r="C185" s="18" t="s">
        <v>4425</v>
      </c>
      <c r="D185" s="18" t="s">
        <v>755</v>
      </c>
      <c r="E185" s="18" t="s">
        <v>756</v>
      </c>
      <c r="F185" s="18" t="str">
        <f>"0,5656"</f>
        <v>0,5656</v>
      </c>
      <c r="G185" s="18" t="s">
        <v>31</v>
      </c>
      <c r="H185" s="92" t="s">
        <v>2050</v>
      </c>
      <c r="I185" s="143" t="s">
        <v>127</v>
      </c>
      <c r="J185" s="140" t="s">
        <v>108</v>
      </c>
      <c r="K185" s="103" t="s">
        <v>120</v>
      </c>
      <c r="L185" s="102"/>
      <c r="M185" s="40">
        <v>190</v>
      </c>
      <c r="N185" s="38" t="str">
        <f>"107,4640"</f>
        <v>107,4640</v>
      </c>
      <c r="O185" s="18" t="s">
        <v>51</v>
      </c>
    </row>
    <row r="186" spans="1:15" ht="12.75">
      <c r="A186" s="29">
        <v>3</v>
      </c>
      <c r="B186" s="469">
        <v>8</v>
      </c>
      <c r="C186" s="18" t="s">
        <v>4698</v>
      </c>
      <c r="D186" s="18" t="s">
        <v>757</v>
      </c>
      <c r="E186" s="18" t="s">
        <v>758</v>
      </c>
      <c r="F186" s="18" t="str">
        <f>"0,5612"</f>
        <v>0,5612</v>
      </c>
      <c r="G186" s="18" t="s">
        <v>2104</v>
      </c>
      <c r="H186" s="92" t="s">
        <v>2050</v>
      </c>
      <c r="I186" s="143" t="s">
        <v>126</v>
      </c>
      <c r="J186" s="47" t="s">
        <v>350</v>
      </c>
      <c r="K186" s="103" t="s">
        <v>350</v>
      </c>
      <c r="L186" s="102"/>
      <c r="M186" s="40">
        <v>175</v>
      </c>
      <c r="N186" s="38" t="s">
        <v>2255</v>
      </c>
      <c r="O186" s="18" t="s">
        <v>51</v>
      </c>
    </row>
    <row r="187" spans="1:15" ht="12.75">
      <c r="A187" s="29">
        <v>1</v>
      </c>
      <c r="B187" s="469">
        <v>12</v>
      </c>
      <c r="C187" s="19" t="s">
        <v>4630</v>
      </c>
      <c r="D187" s="19" t="s">
        <v>759</v>
      </c>
      <c r="E187" s="19" t="s">
        <v>760</v>
      </c>
      <c r="F187" s="19" t="str">
        <f>"0,5616"</f>
        <v>0,5616</v>
      </c>
      <c r="G187" s="19" t="s">
        <v>125</v>
      </c>
      <c r="H187" s="94" t="s">
        <v>761</v>
      </c>
      <c r="I187" s="144" t="s">
        <v>153</v>
      </c>
      <c r="J187" s="139" t="s">
        <v>269</v>
      </c>
      <c r="K187" s="112" t="s">
        <v>350</v>
      </c>
      <c r="L187" s="109"/>
      <c r="M187" s="43">
        <v>177.5</v>
      </c>
      <c r="N187" s="41" t="str">
        <f>"105,6650"</f>
        <v>105,6650</v>
      </c>
      <c r="O187" s="19" t="s">
        <v>51</v>
      </c>
    </row>
    <row r="188" spans="2:14" ht="12.75">
      <c r="B188" s="469"/>
      <c r="I188" s="50"/>
      <c r="J188" s="50"/>
      <c r="K188" s="50"/>
      <c r="L188" s="50"/>
      <c r="M188" s="53"/>
      <c r="N188" s="50"/>
    </row>
    <row r="189" spans="2:14" ht="15.75">
      <c r="B189" s="469"/>
      <c r="C189" s="541" t="s">
        <v>364</v>
      </c>
      <c r="D189" s="541"/>
      <c r="E189" s="541"/>
      <c r="F189" s="541"/>
      <c r="G189" s="541"/>
      <c r="H189" s="541"/>
      <c r="I189" s="541"/>
      <c r="J189" s="541"/>
      <c r="K189" s="541"/>
      <c r="L189" s="541"/>
      <c r="M189" s="541"/>
      <c r="N189" s="541"/>
    </row>
    <row r="190" spans="1:15" ht="12.75">
      <c r="A190" s="29">
        <v>1</v>
      </c>
      <c r="B190" s="469"/>
      <c r="C190" s="20" t="s">
        <v>4699</v>
      </c>
      <c r="D190" s="20" t="s">
        <v>762</v>
      </c>
      <c r="E190" s="20" t="s">
        <v>763</v>
      </c>
      <c r="F190" s="20" t="str">
        <f>"0,5533"</f>
        <v>0,5533</v>
      </c>
      <c r="G190" s="20" t="s">
        <v>2146</v>
      </c>
      <c r="H190" s="20" t="s">
        <v>2147</v>
      </c>
      <c r="I190" s="134" t="s">
        <v>190</v>
      </c>
      <c r="J190" s="45" t="s">
        <v>192</v>
      </c>
      <c r="K190" s="45" t="s">
        <v>192</v>
      </c>
      <c r="L190" s="31"/>
      <c r="M190" s="34">
        <v>200</v>
      </c>
      <c r="N190" s="33" t="str">
        <f>"110,6600"</f>
        <v>110,6600</v>
      </c>
      <c r="O190" s="20" t="s">
        <v>51</v>
      </c>
    </row>
    <row r="192" spans="3:4" ht="18">
      <c r="C192" s="16" t="s">
        <v>370</v>
      </c>
      <c r="D192" s="16"/>
    </row>
    <row r="193" spans="3:4" ht="15.75">
      <c r="C193" s="22" t="s">
        <v>371</v>
      </c>
      <c r="D193" s="22"/>
    </row>
    <row r="194" spans="3:4" ht="13.5">
      <c r="C194" s="24"/>
      <c r="D194" s="25" t="s">
        <v>2102</v>
      </c>
    </row>
    <row r="195" spans="3:7" ht="13.5">
      <c r="C195" s="26" t="s">
        <v>373</v>
      </c>
      <c r="D195" s="26" t="s">
        <v>374</v>
      </c>
      <c r="E195" s="26" t="s">
        <v>375</v>
      </c>
      <c r="F195" s="26" t="s">
        <v>376</v>
      </c>
      <c r="G195" s="26" t="s">
        <v>377</v>
      </c>
    </row>
    <row r="196" spans="1:7" ht="12.75">
      <c r="A196" s="29">
        <v>1</v>
      </c>
      <c r="C196" s="23" t="s">
        <v>448</v>
      </c>
      <c r="D196" s="49" t="s">
        <v>388</v>
      </c>
      <c r="E196" s="49" t="s">
        <v>764</v>
      </c>
      <c r="F196" s="49" t="s">
        <v>303</v>
      </c>
      <c r="G196" s="50" t="s">
        <v>765</v>
      </c>
    </row>
    <row r="197" spans="1:7" ht="12.75">
      <c r="A197" s="29">
        <v>2</v>
      </c>
      <c r="C197" s="23" t="s">
        <v>460</v>
      </c>
      <c r="D197" s="49" t="s">
        <v>388</v>
      </c>
      <c r="E197" s="49" t="s">
        <v>380</v>
      </c>
      <c r="F197" s="49" t="s">
        <v>416</v>
      </c>
      <c r="G197" s="50" t="s">
        <v>766</v>
      </c>
    </row>
    <row r="198" spans="1:7" ht="12.75">
      <c r="A198" s="29">
        <v>3</v>
      </c>
      <c r="C198" s="23" t="s">
        <v>433</v>
      </c>
      <c r="D198" s="49" t="s">
        <v>388</v>
      </c>
      <c r="E198" s="49" t="s">
        <v>385</v>
      </c>
      <c r="F198" s="49" t="s">
        <v>70</v>
      </c>
      <c r="G198" s="50" t="s">
        <v>767</v>
      </c>
    </row>
    <row r="199" spans="3:7" ht="13.5">
      <c r="C199" s="24"/>
      <c r="D199" s="118" t="s">
        <v>2102</v>
      </c>
      <c r="E199" s="49"/>
      <c r="F199" s="49"/>
      <c r="G199" s="49"/>
    </row>
    <row r="200" spans="3:7" ht="13.5">
      <c r="C200" s="26" t="s">
        <v>373</v>
      </c>
      <c r="D200" s="26" t="s">
        <v>374</v>
      </c>
      <c r="E200" s="26" t="s">
        <v>375</v>
      </c>
      <c r="F200" s="26" t="s">
        <v>376</v>
      </c>
      <c r="G200" s="26" t="s">
        <v>377</v>
      </c>
    </row>
    <row r="201" spans="1:7" ht="12.75">
      <c r="A201" s="29">
        <v>1</v>
      </c>
      <c r="C201" s="23" t="s">
        <v>448</v>
      </c>
      <c r="D201" s="49" t="s">
        <v>372</v>
      </c>
      <c r="E201" s="49" t="s">
        <v>764</v>
      </c>
      <c r="F201" s="49" t="s">
        <v>303</v>
      </c>
      <c r="G201" s="50" t="s">
        <v>765</v>
      </c>
    </row>
    <row r="202" spans="1:7" ht="12.75">
      <c r="A202" s="29">
        <v>2</v>
      </c>
      <c r="C202" s="23" t="s">
        <v>467</v>
      </c>
      <c r="D202" s="49" t="s">
        <v>372</v>
      </c>
      <c r="E202" s="49" t="s">
        <v>380</v>
      </c>
      <c r="F202" s="49" t="s">
        <v>471</v>
      </c>
      <c r="G202" s="50" t="s">
        <v>768</v>
      </c>
    </row>
    <row r="203" spans="1:7" ht="12.75">
      <c r="A203" s="29">
        <v>3</v>
      </c>
      <c r="C203" s="23" t="s">
        <v>413</v>
      </c>
      <c r="D203" s="49" t="s">
        <v>372</v>
      </c>
      <c r="E203" s="49" t="s">
        <v>769</v>
      </c>
      <c r="F203" s="49" t="s">
        <v>416</v>
      </c>
      <c r="G203" s="50" t="s">
        <v>770</v>
      </c>
    </row>
    <row r="204" spans="3:7" ht="13.5">
      <c r="C204" s="24"/>
      <c r="D204" s="118" t="s">
        <v>2102</v>
      </c>
      <c r="E204" s="49"/>
      <c r="F204" s="49"/>
      <c r="G204" s="49"/>
    </row>
    <row r="205" spans="3:7" ht="13.5">
      <c r="C205" s="26" t="s">
        <v>373</v>
      </c>
      <c r="D205" s="26" t="s">
        <v>374</v>
      </c>
      <c r="E205" s="26" t="s">
        <v>375</v>
      </c>
      <c r="F205" s="26" t="s">
        <v>376</v>
      </c>
      <c r="G205" s="26" t="s">
        <v>377</v>
      </c>
    </row>
    <row r="206" spans="1:7" ht="12.75">
      <c r="A206" s="29">
        <v>1</v>
      </c>
      <c r="C206" s="23" t="s">
        <v>428</v>
      </c>
      <c r="D206" s="49" t="s">
        <v>386</v>
      </c>
      <c r="E206" s="49" t="s">
        <v>394</v>
      </c>
      <c r="F206" s="49" t="s">
        <v>432</v>
      </c>
      <c r="G206" s="50" t="s">
        <v>772</v>
      </c>
    </row>
    <row r="207" spans="1:7" ht="12.75">
      <c r="A207" s="29">
        <v>2</v>
      </c>
      <c r="C207" s="23" t="s">
        <v>496</v>
      </c>
      <c r="D207" s="49" t="s">
        <v>773</v>
      </c>
      <c r="E207" s="49" t="s">
        <v>378</v>
      </c>
      <c r="F207" s="49" t="s">
        <v>457</v>
      </c>
      <c r="G207" s="50" t="s">
        <v>774</v>
      </c>
    </row>
    <row r="208" spans="1:7" ht="12.75">
      <c r="A208" s="29">
        <v>3</v>
      </c>
      <c r="C208" s="23" t="s">
        <v>486</v>
      </c>
      <c r="D208" s="49" t="s">
        <v>386</v>
      </c>
      <c r="E208" s="49" t="s">
        <v>380</v>
      </c>
      <c r="F208" s="49" t="s">
        <v>419</v>
      </c>
      <c r="G208" s="50" t="s">
        <v>775</v>
      </c>
    </row>
    <row r="209" spans="4:7" ht="12.75">
      <c r="D209" s="49"/>
      <c r="E209" s="49"/>
      <c r="F209" s="49"/>
      <c r="G209" s="49"/>
    </row>
    <row r="210" spans="3:7" ht="15.75">
      <c r="C210" s="22" t="s">
        <v>387</v>
      </c>
      <c r="D210" s="78"/>
      <c r="E210" s="49"/>
      <c r="F210" s="49"/>
      <c r="G210" s="49"/>
    </row>
    <row r="211" spans="3:7" ht="13.5">
      <c r="C211" s="24"/>
      <c r="D211" s="118" t="s">
        <v>2102</v>
      </c>
      <c r="E211" s="49"/>
      <c r="F211" s="49"/>
      <c r="G211" s="49"/>
    </row>
    <row r="212" spans="3:7" ht="13.5">
      <c r="C212" s="26" t="s">
        <v>373</v>
      </c>
      <c r="D212" s="26" t="s">
        <v>374</v>
      </c>
      <c r="E212" s="26" t="s">
        <v>375</v>
      </c>
      <c r="F212" s="26" t="s">
        <v>376</v>
      </c>
      <c r="G212" s="26" t="s">
        <v>377</v>
      </c>
    </row>
    <row r="213" spans="1:7" ht="12.75">
      <c r="A213" s="29">
        <v>1</v>
      </c>
      <c r="C213" s="23" t="s">
        <v>574</v>
      </c>
      <c r="D213" s="49" t="s">
        <v>388</v>
      </c>
      <c r="E213" s="49" t="s">
        <v>404</v>
      </c>
      <c r="F213" s="49" t="s">
        <v>131</v>
      </c>
      <c r="G213" s="50" t="s">
        <v>776</v>
      </c>
    </row>
    <row r="214" spans="1:7" ht="12.75">
      <c r="A214" s="29">
        <v>2</v>
      </c>
      <c r="C214" s="23" t="s">
        <v>538</v>
      </c>
      <c r="D214" s="49" t="s">
        <v>388</v>
      </c>
      <c r="E214" s="49" t="s">
        <v>383</v>
      </c>
      <c r="F214" s="49" t="s">
        <v>528</v>
      </c>
      <c r="G214" s="50" t="s">
        <v>4096</v>
      </c>
    </row>
    <row r="215" spans="1:7" ht="12.75">
      <c r="A215" s="29">
        <v>3</v>
      </c>
      <c r="C215" s="23" t="s">
        <v>534</v>
      </c>
      <c r="D215" s="49" t="s">
        <v>388</v>
      </c>
      <c r="E215" s="49" t="s">
        <v>383</v>
      </c>
      <c r="F215" s="49" t="s">
        <v>528</v>
      </c>
      <c r="G215" s="50" t="s">
        <v>777</v>
      </c>
    </row>
    <row r="216" spans="3:7" ht="13.5">
      <c r="C216" s="24"/>
      <c r="D216" s="118" t="s">
        <v>2102</v>
      </c>
      <c r="E216" s="49"/>
      <c r="F216" s="49"/>
      <c r="G216" s="49"/>
    </row>
    <row r="217" spans="3:7" ht="13.5">
      <c r="C217" s="26" t="s">
        <v>373</v>
      </c>
      <c r="D217" s="26" t="s">
        <v>374</v>
      </c>
      <c r="E217" s="26" t="s">
        <v>375</v>
      </c>
      <c r="F217" s="26" t="s">
        <v>376</v>
      </c>
      <c r="G217" s="26" t="s">
        <v>377</v>
      </c>
    </row>
    <row r="218" spans="1:7" ht="12.75">
      <c r="A218" s="29">
        <v>1</v>
      </c>
      <c r="C218" s="23" t="s">
        <v>627</v>
      </c>
      <c r="D218" s="49" t="s">
        <v>395</v>
      </c>
      <c r="E218" s="49" t="s">
        <v>378</v>
      </c>
      <c r="F218" s="49" t="s">
        <v>127</v>
      </c>
      <c r="G218" s="50" t="s">
        <v>779</v>
      </c>
    </row>
    <row r="219" spans="1:7" ht="12.75">
      <c r="A219" s="29">
        <v>2</v>
      </c>
      <c r="C219" s="23" t="s">
        <v>545</v>
      </c>
      <c r="D219" s="49" t="s">
        <v>395</v>
      </c>
      <c r="E219" s="49" t="s">
        <v>383</v>
      </c>
      <c r="F219" s="49" t="s">
        <v>76</v>
      </c>
      <c r="G219" s="50" t="s">
        <v>780</v>
      </c>
    </row>
    <row r="220" spans="1:7" ht="12.75">
      <c r="A220" s="29">
        <v>3</v>
      </c>
      <c r="C220" s="23" t="s">
        <v>667</v>
      </c>
      <c r="D220" s="49" t="s">
        <v>395</v>
      </c>
      <c r="E220" s="49" t="s">
        <v>397</v>
      </c>
      <c r="F220" s="49" t="s">
        <v>269</v>
      </c>
      <c r="G220" s="50" t="s">
        <v>781</v>
      </c>
    </row>
    <row r="221" spans="3:7" ht="13.5">
      <c r="C221" s="24"/>
      <c r="D221" s="118" t="s">
        <v>2102</v>
      </c>
      <c r="E221" s="49"/>
      <c r="F221" s="49"/>
      <c r="G221" s="49"/>
    </row>
    <row r="222" spans="3:7" ht="13.5">
      <c r="C222" s="26" t="s">
        <v>373</v>
      </c>
      <c r="D222" s="26" t="s">
        <v>374</v>
      </c>
      <c r="E222" s="26" t="s">
        <v>375</v>
      </c>
      <c r="F222" s="26" t="s">
        <v>376</v>
      </c>
      <c r="G222" s="26" t="s">
        <v>377</v>
      </c>
    </row>
    <row r="223" spans="1:7" ht="12.75">
      <c r="A223" s="29">
        <v>1</v>
      </c>
      <c r="C223" s="23" t="s">
        <v>592</v>
      </c>
      <c r="D223" s="49" t="s">
        <v>372</v>
      </c>
      <c r="E223" s="49" t="s">
        <v>404</v>
      </c>
      <c r="F223" s="49" t="s">
        <v>120</v>
      </c>
      <c r="G223" s="50" t="s">
        <v>782</v>
      </c>
    </row>
    <row r="224" spans="1:7" ht="12.75">
      <c r="A224" s="29">
        <v>2</v>
      </c>
      <c r="C224" s="23" t="s">
        <v>670</v>
      </c>
      <c r="D224" s="49" t="s">
        <v>372</v>
      </c>
      <c r="E224" s="49" t="s">
        <v>397</v>
      </c>
      <c r="F224" s="49" t="s">
        <v>192</v>
      </c>
      <c r="G224" s="50" t="s">
        <v>783</v>
      </c>
    </row>
    <row r="225" spans="1:7" ht="12.75">
      <c r="A225" s="29">
        <v>3</v>
      </c>
      <c r="C225" s="23" t="s">
        <v>738</v>
      </c>
      <c r="D225" s="49" t="s">
        <v>372</v>
      </c>
      <c r="E225" s="49" t="s">
        <v>4097</v>
      </c>
      <c r="F225" s="49" t="s">
        <v>237</v>
      </c>
      <c r="G225" s="50" t="s">
        <v>4098</v>
      </c>
    </row>
    <row r="226" spans="3:7" ht="13.5">
      <c r="C226" s="24"/>
      <c r="D226" s="118" t="s">
        <v>2102</v>
      </c>
      <c r="E226" s="49"/>
      <c r="F226" s="49"/>
      <c r="G226" s="49"/>
    </row>
    <row r="227" spans="3:7" ht="13.5">
      <c r="C227" s="26" t="s">
        <v>373</v>
      </c>
      <c r="D227" s="26" t="s">
        <v>374</v>
      </c>
      <c r="E227" s="26" t="s">
        <v>375</v>
      </c>
      <c r="F227" s="26" t="s">
        <v>376</v>
      </c>
      <c r="G227" s="26" t="s">
        <v>377</v>
      </c>
    </row>
    <row r="228" spans="1:7" ht="12.75">
      <c r="A228" s="29">
        <v>1</v>
      </c>
      <c r="C228" s="23" t="s">
        <v>619</v>
      </c>
      <c r="D228" s="49" t="s">
        <v>411</v>
      </c>
      <c r="E228" s="49" t="s">
        <v>404</v>
      </c>
      <c r="F228" s="49" t="s">
        <v>100</v>
      </c>
      <c r="G228" s="50" t="s">
        <v>784</v>
      </c>
    </row>
    <row r="229" spans="1:7" ht="12.75">
      <c r="A229" s="29">
        <v>2</v>
      </c>
      <c r="C229" s="23" t="s">
        <v>750</v>
      </c>
      <c r="D229" s="49" t="s">
        <v>407</v>
      </c>
      <c r="E229" s="49" t="s">
        <v>389</v>
      </c>
      <c r="F229" s="49" t="s">
        <v>183</v>
      </c>
      <c r="G229" s="50" t="s">
        <v>785</v>
      </c>
    </row>
    <row r="230" spans="1:7" ht="12.75">
      <c r="A230" s="29">
        <v>3</v>
      </c>
      <c r="C230" s="23" t="s">
        <v>636</v>
      </c>
      <c r="D230" s="49" t="s">
        <v>386</v>
      </c>
      <c r="E230" s="49" t="s">
        <v>378</v>
      </c>
      <c r="F230" s="49" t="s">
        <v>108</v>
      </c>
      <c r="G230" s="50" t="s">
        <v>786</v>
      </c>
    </row>
  </sheetData>
  <sheetProtection/>
  <mergeCells count="32">
    <mergeCell ref="B3:B4"/>
    <mergeCell ref="C171:N171"/>
    <mergeCell ref="C183:N183"/>
    <mergeCell ref="C189:N189"/>
    <mergeCell ref="C55:N55"/>
    <mergeCell ref="C59:N59"/>
    <mergeCell ref="C70:N70"/>
    <mergeCell ref="C92:N92"/>
    <mergeCell ref="C116:N116"/>
    <mergeCell ref="C137:N137"/>
    <mergeCell ref="C28:N28"/>
    <mergeCell ref="C39:N39"/>
    <mergeCell ref="C44:N44"/>
    <mergeCell ref="C47:N47"/>
    <mergeCell ref="C50:N50"/>
    <mergeCell ref="C158:N158"/>
    <mergeCell ref="N3:N4"/>
    <mergeCell ref="O3:O4"/>
    <mergeCell ref="C5:N5"/>
    <mergeCell ref="C10:N10"/>
    <mergeCell ref="C15:N15"/>
    <mergeCell ref="C21:N21"/>
    <mergeCell ref="A3:A4"/>
    <mergeCell ref="C1:O2"/>
    <mergeCell ref="C3:C4"/>
    <mergeCell ref="D3:D4"/>
    <mergeCell ref="E3:E4"/>
    <mergeCell ref="F3:F4"/>
    <mergeCell ref="G3:G4"/>
    <mergeCell ref="H3:H4"/>
    <mergeCell ref="I3:L3"/>
    <mergeCell ref="M3:M4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3"/>
  <sheetViews>
    <sheetView workbookViewId="0" topLeftCell="A77">
      <selection activeCell="C122" sqref="C122:C123"/>
    </sheetView>
  </sheetViews>
  <sheetFormatPr defaultColWidth="11.375" defaultRowHeight="12.75"/>
  <cols>
    <col min="1" max="1" width="7.25390625" style="28" customWidth="1"/>
    <col min="2" max="2" width="11.875" style="449" customWidth="1"/>
    <col min="3" max="3" width="28.25390625" style="61" bestFit="1" customWidth="1"/>
    <col min="4" max="4" width="27.125" style="5" bestFit="1" customWidth="1"/>
    <col min="5" max="5" width="10.625" style="5" bestFit="1" customWidth="1"/>
    <col min="6" max="6" width="8.375" style="1" bestFit="1" customWidth="1"/>
    <col min="7" max="7" width="27.125" style="5" customWidth="1"/>
    <col min="8" max="8" width="37.75390625" style="5" customWidth="1"/>
    <col min="9" max="12" width="5.625" style="1" bestFit="1" customWidth="1"/>
    <col min="13" max="13" width="7.875" style="4" bestFit="1" customWidth="1"/>
    <col min="14" max="14" width="8.625" style="1" bestFit="1" customWidth="1"/>
    <col min="15" max="15" width="21.875" style="5" customWidth="1"/>
    <col min="16" max="16384" width="11.375" style="1" customWidth="1"/>
  </cols>
  <sheetData>
    <row r="1" spans="2:15" ht="15" customHeight="1">
      <c r="B1" s="443"/>
      <c r="C1" s="552" t="s">
        <v>2164</v>
      </c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</row>
    <row r="2" spans="2:15" ht="114" customHeight="1" thickBot="1">
      <c r="B2" s="44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</row>
    <row r="3" spans="1:15" s="2" customFormat="1" ht="12.75" customHeight="1">
      <c r="A3" s="546" t="s">
        <v>1627</v>
      </c>
      <c r="B3" s="516" t="s">
        <v>4516</v>
      </c>
      <c r="C3" s="542" t="s">
        <v>0</v>
      </c>
      <c r="D3" s="548" t="s">
        <v>1628</v>
      </c>
      <c r="E3" s="548" t="s">
        <v>1629</v>
      </c>
      <c r="F3" s="542" t="s">
        <v>9</v>
      </c>
      <c r="G3" s="542" t="s">
        <v>7</v>
      </c>
      <c r="H3" s="514" t="s">
        <v>3275</v>
      </c>
      <c r="I3" s="542" t="s">
        <v>2</v>
      </c>
      <c r="J3" s="542"/>
      <c r="K3" s="542"/>
      <c r="L3" s="542"/>
      <c r="M3" s="542" t="s">
        <v>4</v>
      </c>
      <c r="N3" s="542" t="s">
        <v>6</v>
      </c>
      <c r="O3" s="544" t="s">
        <v>5</v>
      </c>
    </row>
    <row r="4" spans="1:15" s="2" customFormat="1" ht="21" customHeight="1" thickBot="1">
      <c r="A4" s="547"/>
      <c r="B4" s="517"/>
      <c r="C4" s="543"/>
      <c r="D4" s="543"/>
      <c r="E4" s="549"/>
      <c r="F4" s="543"/>
      <c r="G4" s="543"/>
      <c r="H4" s="515"/>
      <c r="I4" s="3">
        <v>1</v>
      </c>
      <c r="J4" s="3">
        <v>2</v>
      </c>
      <c r="K4" s="3">
        <v>3</v>
      </c>
      <c r="L4" s="3" t="s">
        <v>8</v>
      </c>
      <c r="M4" s="543"/>
      <c r="N4" s="543"/>
      <c r="O4" s="545"/>
    </row>
    <row r="5" spans="2:14" ht="15.75">
      <c r="B5" s="443"/>
      <c r="C5" s="558" t="s">
        <v>10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</row>
    <row r="6" spans="1:15" ht="12.75">
      <c r="A6" s="28" t="s">
        <v>2208</v>
      </c>
      <c r="B6" s="443" t="s">
        <v>3526</v>
      </c>
      <c r="C6" s="57" t="s">
        <v>4522</v>
      </c>
      <c r="D6" s="7" t="s">
        <v>12</v>
      </c>
      <c r="E6" s="7" t="s">
        <v>13</v>
      </c>
      <c r="F6" s="6" t="str">
        <f>"1,1950"</f>
        <v>1,1950</v>
      </c>
      <c r="G6" s="7" t="s">
        <v>14</v>
      </c>
      <c r="H6" s="7" t="s">
        <v>1642</v>
      </c>
      <c r="I6" s="134" t="s">
        <v>15</v>
      </c>
      <c r="J6" s="77" t="s">
        <v>16</v>
      </c>
      <c r="K6" s="134" t="s">
        <v>16</v>
      </c>
      <c r="L6" s="68"/>
      <c r="M6" s="67" t="s">
        <v>17</v>
      </c>
      <c r="N6" s="67" t="str">
        <f>"53,2492"</f>
        <v>53,2492</v>
      </c>
      <c r="O6" s="7" t="s">
        <v>1878</v>
      </c>
    </row>
    <row r="8" spans="2:14" ht="15.75">
      <c r="B8" s="443"/>
      <c r="C8" s="558" t="s">
        <v>18</v>
      </c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</row>
    <row r="9" spans="1:15" ht="12.75">
      <c r="A9" s="28" t="s">
        <v>2208</v>
      </c>
      <c r="B9" s="443" t="s">
        <v>3489</v>
      </c>
      <c r="C9" s="58" t="s">
        <v>4341</v>
      </c>
      <c r="D9" s="9" t="s">
        <v>20</v>
      </c>
      <c r="E9" s="9" t="s">
        <v>21</v>
      </c>
      <c r="F9" s="8" t="str">
        <f>"1,0317"</f>
        <v>1,0317</v>
      </c>
      <c r="G9" s="9" t="s">
        <v>22</v>
      </c>
      <c r="H9" s="9" t="s">
        <v>23</v>
      </c>
      <c r="I9" s="75" t="s">
        <v>24</v>
      </c>
      <c r="J9" s="138" t="s">
        <v>24</v>
      </c>
      <c r="K9" s="75" t="s">
        <v>25</v>
      </c>
      <c r="L9" s="69"/>
      <c r="M9" s="70" t="s">
        <v>26</v>
      </c>
      <c r="N9" s="70" t="str">
        <f>"110,9078"</f>
        <v>110,9078</v>
      </c>
      <c r="O9" s="9" t="s">
        <v>51</v>
      </c>
    </row>
    <row r="10" spans="1:15" ht="12.75">
      <c r="A10" s="28" t="s">
        <v>2209</v>
      </c>
      <c r="B10" s="443"/>
      <c r="C10" s="59" t="s">
        <v>4342</v>
      </c>
      <c r="D10" s="11" t="s">
        <v>29</v>
      </c>
      <c r="E10" s="11" t="s">
        <v>30</v>
      </c>
      <c r="F10" s="10" t="str">
        <f>"1,0261"</f>
        <v>1,0261</v>
      </c>
      <c r="G10" s="11" t="s">
        <v>31</v>
      </c>
      <c r="H10" s="11" t="s">
        <v>1903</v>
      </c>
      <c r="I10" s="140" t="s">
        <v>32</v>
      </c>
      <c r="J10" s="56" t="s">
        <v>33</v>
      </c>
      <c r="K10" s="140" t="s">
        <v>33</v>
      </c>
      <c r="L10" s="72"/>
      <c r="M10" s="71" t="s">
        <v>34</v>
      </c>
      <c r="N10" s="71" t="str">
        <f>"97,4795"</f>
        <v>97,4795</v>
      </c>
      <c r="O10" s="11" t="s">
        <v>1831</v>
      </c>
    </row>
    <row r="11" spans="1:15" ht="12.75">
      <c r="A11" s="28" t="s">
        <v>2208</v>
      </c>
      <c r="B11" s="443"/>
      <c r="C11" s="60" t="s">
        <v>35</v>
      </c>
      <c r="D11" s="13" t="s">
        <v>36</v>
      </c>
      <c r="E11" s="13" t="s">
        <v>37</v>
      </c>
      <c r="F11" s="12" t="str">
        <f>"1,0650"</f>
        <v>1,0650</v>
      </c>
      <c r="G11" s="13" t="s">
        <v>31</v>
      </c>
      <c r="H11" s="13" t="s">
        <v>38</v>
      </c>
      <c r="I11" s="139" t="s">
        <v>39</v>
      </c>
      <c r="J11" s="76" t="s">
        <v>15</v>
      </c>
      <c r="K11" s="76" t="s">
        <v>40</v>
      </c>
      <c r="L11" s="74"/>
      <c r="M11" s="73" t="s">
        <v>41</v>
      </c>
      <c r="N11" s="73" t="str">
        <f>"31,9500"</f>
        <v>31,9500</v>
      </c>
      <c r="O11" s="13" t="s">
        <v>1949</v>
      </c>
    </row>
    <row r="13" spans="2:14" ht="15.75">
      <c r="B13" s="443"/>
      <c r="C13" s="558" t="s">
        <v>42</v>
      </c>
      <c r="D13" s="560"/>
      <c r="E13" s="560"/>
      <c r="F13" s="560"/>
      <c r="G13" s="560"/>
      <c r="H13" s="560"/>
      <c r="I13" s="560"/>
      <c r="J13" s="560"/>
      <c r="K13" s="560"/>
      <c r="L13" s="560"/>
      <c r="M13" s="560"/>
      <c r="N13" s="560"/>
    </row>
    <row r="14" spans="1:15" ht="12.75">
      <c r="A14" s="28" t="s">
        <v>2208</v>
      </c>
      <c r="B14" s="443" t="s">
        <v>3526</v>
      </c>
      <c r="C14" s="58" t="s">
        <v>4343</v>
      </c>
      <c r="D14" s="9" t="s">
        <v>44</v>
      </c>
      <c r="E14" s="9" t="s">
        <v>45</v>
      </c>
      <c r="F14" s="8" t="str">
        <f>"0,9579"</f>
        <v>0,9579</v>
      </c>
      <c r="G14" s="9" t="s">
        <v>2104</v>
      </c>
      <c r="H14" s="9" t="s">
        <v>47</v>
      </c>
      <c r="I14" s="138" t="s">
        <v>48</v>
      </c>
      <c r="J14" s="138" t="s">
        <v>49</v>
      </c>
      <c r="K14" s="69"/>
      <c r="L14" s="69"/>
      <c r="M14" s="70" t="s">
        <v>50</v>
      </c>
      <c r="N14" s="70" t="str">
        <f>"86,2110"</f>
        <v>86,2110</v>
      </c>
      <c r="O14" s="9" t="s">
        <v>51</v>
      </c>
    </row>
    <row r="15" spans="1:15" ht="12.75">
      <c r="A15" s="28" t="s">
        <v>2209</v>
      </c>
      <c r="B15" s="443" t="s">
        <v>3493</v>
      </c>
      <c r="C15" s="60" t="s">
        <v>4344</v>
      </c>
      <c r="D15" s="13" t="s">
        <v>52</v>
      </c>
      <c r="E15" s="13" t="s">
        <v>53</v>
      </c>
      <c r="F15" s="12" t="str">
        <f>"0,9604"</f>
        <v>0,9604</v>
      </c>
      <c r="G15" s="13" t="s">
        <v>54</v>
      </c>
      <c r="H15" s="13" t="s">
        <v>1641</v>
      </c>
      <c r="I15" s="139" t="s">
        <v>55</v>
      </c>
      <c r="J15" s="139" t="s">
        <v>56</v>
      </c>
      <c r="K15" s="139" t="s">
        <v>57</v>
      </c>
      <c r="L15" s="74"/>
      <c r="M15" s="73" t="s">
        <v>58</v>
      </c>
      <c r="N15" s="73" t="str">
        <f>"72,0300"</f>
        <v>72,0300</v>
      </c>
      <c r="O15" s="13" t="s">
        <v>1839</v>
      </c>
    </row>
    <row r="17" spans="2:14" ht="15.75">
      <c r="B17" s="443"/>
      <c r="C17" s="558" t="s">
        <v>59</v>
      </c>
      <c r="D17" s="560"/>
      <c r="E17" s="560"/>
      <c r="F17" s="560"/>
      <c r="G17" s="560"/>
      <c r="H17" s="560"/>
      <c r="I17" s="560"/>
      <c r="J17" s="560"/>
      <c r="K17" s="560"/>
      <c r="L17" s="560"/>
      <c r="M17" s="560"/>
      <c r="N17" s="560"/>
    </row>
    <row r="18" spans="1:15" ht="12.75">
      <c r="A18" s="28" t="s">
        <v>2208</v>
      </c>
      <c r="B18" s="443" t="s">
        <v>2708</v>
      </c>
      <c r="C18" s="57" t="s">
        <v>4008</v>
      </c>
      <c r="D18" s="7" t="s">
        <v>61</v>
      </c>
      <c r="E18" s="7" t="s">
        <v>62</v>
      </c>
      <c r="F18" s="6" t="str">
        <f>"0,8797"</f>
        <v>0,8797</v>
      </c>
      <c r="G18" s="7" t="s">
        <v>54</v>
      </c>
      <c r="H18" s="7" t="s">
        <v>1641</v>
      </c>
      <c r="I18" s="77" t="s">
        <v>63</v>
      </c>
      <c r="J18" s="134" t="s">
        <v>63</v>
      </c>
      <c r="K18" s="77" t="s">
        <v>64</v>
      </c>
      <c r="L18" s="68"/>
      <c r="M18" s="67" t="s">
        <v>65</v>
      </c>
      <c r="N18" s="67" t="str">
        <f>"136,3535"</f>
        <v>136,3535</v>
      </c>
      <c r="O18" s="7" t="s">
        <v>2180</v>
      </c>
    </row>
    <row r="20" spans="2:14" ht="15.75">
      <c r="B20" s="443"/>
      <c r="C20" s="558" t="s">
        <v>66</v>
      </c>
      <c r="D20" s="560"/>
      <c r="E20" s="560"/>
      <c r="F20" s="560"/>
      <c r="G20" s="560"/>
      <c r="H20" s="560"/>
      <c r="I20" s="560"/>
      <c r="J20" s="560"/>
      <c r="K20" s="560"/>
      <c r="L20" s="560"/>
      <c r="M20" s="560"/>
      <c r="N20" s="560"/>
    </row>
    <row r="21" spans="1:15" ht="12.75">
      <c r="A21" s="28" t="s">
        <v>2208</v>
      </c>
      <c r="B21" s="443"/>
      <c r="C21" s="57" t="s">
        <v>4406</v>
      </c>
      <c r="D21" s="7" t="s">
        <v>67</v>
      </c>
      <c r="E21" s="7" t="s">
        <v>68</v>
      </c>
      <c r="F21" s="6" t="str">
        <f>"1,2854"</f>
        <v>1,2854</v>
      </c>
      <c r="G21" s="7" t="s">
        <v>31</v>
      </c>
      <c r="H21" s="7" t="s">
        <v>69</v>
      </c>
      <c r="I21" s="134" t="s">
        <v>16</v>
      </c>
      <c r="J21" s="134" t="s">
        <v>70</v>
      </c>
      <c r="K21" s="134" t="s">
        <v>71</v>
      </c>
      <c r="L21" s="68"/>
      <c r="M21" s="67" t="s">
        <v>72</v>
      </c>
      <c r="N21" s="67" t="str">
        <f>"57,8430"</f>
        <v>57,8430</v>
      </c>
      <c r="O21" s="7" t="s">
        <v>79</v>
      </c>
    </row>
    <row r="23" spans="2:14" ht="15.75">
      <c r="B23" s="443"/>
      <c r="C23" s="558" t="s">
        <v>10</v>
      </c>
      <c r="D23" s="560"/>
      <c r="E23" s="560"/>
      <c r="F23" s="560"/>
      <c r="G23" s="560"/>
      <c r="H23" s="560"/>
      <c r="I23" s="560"/>
      <c r="J23" s="560"/>
      <c r="K23" s="560"/>
      <c r="L23" s="560"/>
      <c r="M23" s="560"/>
      <c r="N23" s="560"/>
    </row>
    <row r="24" spans="1:15" ht="12.75">
      <c r="A24" s="28" t="s">
        <v>2208</v>
      </c>
      <c r="B24" s="443"/>
      <c r="C24" s="57" t="s">
        <v>4345</v>
      </c>
      <c r="D24" s="7" t="s">
        <v>74</v>
      </c>
      <c r="E24" s="7" t="s">
        <v>75</v>
      </c>
      <c r="F24" s="6" t="str">
        <f>"0,9267"</f>
        <v>0,9267</v>
      </c>
      <c r="G24" s="7" t="s">
        <v>31</v>
      </c>
      <c r="H24" s="7" t="s">
        <v>69</v>
      </c>
      <c r="I24" s="77" t="s">
        <v>76</v>
      </c>
      <c r="J24" s="134" t="s">
        <v>76</v>
      </c>
      <c r="K24" s="134" t="s">
        <v>77</v>
      </c>
      <c r="L24" s="68"/>
      <c r="M24" s="67" t="s">
        <v>78</v>
      </c>
      <c r="N24" s="67" t="str">
        <f>"150,5887"</f>
        <v>150,5887</v>
      </c>
      <c r="O24" s="7" t="s">
        <v>79</v>
      </c>
    </row>
    <row r="26" spans="2:14" ht="15.75">
      <c r="B26" s="443"/>
      <c r="C26" s="558" t="s">
        <v>80</v>
      </c>
      <c r="D26" s="560"/>
      <c r="E26" s="560"/>
      <c r="F26" s="560"/>
      <c r="G26" s="560"/>
      <c r="H26" s="560"/>
      <c r="I26" s="560"/>
      <c r="J26" s="560"/>
      <c r="K26" s="560"/>
      <c r="L26" s="560"/>
      <c r="M26" s="560"/>
      <c r="N26" s="560"/>
    </row>
    <row r="27" spans="1:15" ht="12.75">
      <c r="A27" s="28" t="s">
        <v>2208</v>
      </c>
      <c r="B27" s="443"/>
      <c r="C27" s="57" t="s">
        <v>4407</v>
      </c>
      <c r="D27" s="7" t="s">
        <v>81</v>
      </c>
      <c r="E27" s="7" t="s">
        <v>82</v>
      </c>
      <c r="F27" s="6" t="str">
        <f>"0,8703"</f>
        <v>0,8703</v>
      </c>
      <c r="G27" s="7" t="s">
        <v>31</v>
      </c>
      <c r="H27" s="7" t="s">
        <v>2245</v>
      </c>
      <c r="I27" s="134" t="s">
        <v>48</v>
      </c>
      <c r="J27" s="77" t="s">
        <v>32</v>
      </c>
      <c r="K27" s="134" t="s">
        <v>32</v>
      </c>
      <c r="L27" s="68"/>
      <c r="M27" s="67" t="s">
        <v>83</v>
      </c>
      <c r="N27" s="67" t="str">
        <f>"76,1512"</f>
        <v>76,1512</v>
      </c>
      <c r="O27" s="7" t="s">
        <v>2083</v>
      </c>
    </row>
    <row r="29" spans="2:14" ht="15.75">
      <c r="B29" s="443"/>
      <c r="C29" s="558" t="s">
        <v>18</v>
      </c>
      <c r="D29" s="560"/>
      <c r="E29" s="560"/>
      <c r="F29" s="560"/>
      <c r="G29" s="560"/>
      <c r="H29" s="560"/>
      <c r="I29" s="560"/>
      <c r="J29" s="560"/>
      <c r="K29" s="560"/>
      <c r="L29" s="560"/>
      <c r="M29" s="560"/>
      <c r="N29" s="560"/>
    </row>
    <row r="30" spans="1:15" ht="12.75">
      <c r="A30" s="28" t="s">
        <v>2208</v>
      </c>
      <c r="B30" s="443"/>
      <c r="C30" s="58" t="s">
        <v>4346</v>
      </c>
      <c r="D30" s="9" t="s">
        <v>85</v>
      </c>
      <c r="E30" s="9" t="s">
        <v>86</v>
      </c>
      <c r="F30" s="8" t="str">
        <f>"0,8014"</f>
        <v>0,8014</v>
      </c>
      <c r="G30" s="9" t="s">
        <v>31</v>
      </c>
      <c r="H30" s="9" t="s">
        <v>87</v>
      </c>
      <c r="I30" s="138" t="s">
        <v>25</v>
      </c>
      <c r="J30" s="138" t="s">
        <v>88</v>
      </c>
      <c r="K30" s="138" t="s">
        <v>89</v>
      </c>
      <c r="L30" s="69"/>
      <c r="M30" s="70" t="s">
        <v>90</v>
      </c>
      <c r="N30" s="70" t="str">
        <f>"104,1820"</f>
        <v>104,1820</v>
      </c>
      <c r="O30" s="9" t="s">
        <v>51</v>
      </c>
    </row>
    <row r="31" spans="1:15" ht="12.75">
      <c r="A31" s="28" t="s">
        <v>2209</v>
      </c>
      <c r="B31" s="443" t="s">
        <v>3493</v>
      </c>
      <c r="C31" s="59" t="s">
        <v>4408</v>
      </c>
      <c r="D31" s="11" t="s">
        <v>91</v>
      </c>
      <c r="E31" s="11" t="s">
        <v>92</v>
      </c>
      <c r="F31" s="10" t="str">
        <f>"0,7823"</f>
        <v>0,7823</v>
      </c>
      <c r="G31" s="11" t="s">
        <v>2104</v>
      </c>
      <c r="H31" s="11" t="s">
        <v>1642</v>
      </c>
      <c r="I31" s="140" t="s">
        <v>93</v>
      </c>
      <c r="J31" s="140" t="s">
        <v>94</v>
      </c>
      <c r="K31" s="56" t="s">
        <v>95</v>
      </c>
      <c r="L31" s="72"/>
      <c r="M31" s="71" t="s">
        <v>96</v>
      </c>
      <c r="N31" s="71" t="str">
        <f>"46,9380"</f>
        <v>46,9380</v>
      </c>
      <c r="O31" s="11" t="s">
        <v>2064</v>
      </c>
    </row>
    <row r="32" spans="1:15" ht="12.75">
      <c r="A32" s="28" t="s">
        <v>2208</v>
      </c>
      <c r="B32" s="443" t="s">
        <v>3526</v>
      </c>
      <c r="C32" s="59" t="s">
        <v>4347</v>
      </c>
      <c r="D32" s="11" t="s">
        <v>97</v>
      </c>
      <c r="E32" s="11" t="s">
        <v>98</v>
      </c>
      <c r="F32" s="10" t="str">
        <f>"0,7710"</f>
        <v>0,7710</v>
      </c>
      <c r="G32" s="11" t="s">
        <v>99</v>
      </c>
      <c r="H32" s="11" t="s">
        <v>2082</v>
      </c>
      <c r="I32" s="140" t="s">
        <v>88</v>
      </c>
      <c r="J32" s="140" t="s">
        <v>100</v>
      </c>
      <c r="K32" s="140" t="s">
        <v>101</v>
      </c>
      <c r="L32" s="72"/>
      <c r="M32" s="71" t="s">
        <v>102</v>
      </c>
      <c r="N32" s="71" t="str">
        <f>"102,1575"</f>
        <v>102,1575</v>
      </c>
      <c r="O32" s="11" t="s">
        <v>51</v>
      </c>
    </row>
    <row r="33" spans="1:15" ht="12.75">
      <c r="A33" s="28" t="s">
        <v>2208</v>
      </c>
      <c r="B33" s="443"/>
      <c r="C33" s="60" t="s">
        <v>4348</v>
      </c>
      <c r="D33" s="13" t="s">
        <v>103</v>
      </c>
      <c r="E33" s="13" t="s">
        <v>104</v>
      </c>
      <c r="F33" s="12" t="str">
        <f>"0,7922"</f>
        <v>0,7922</v>
      </c>
      <c r="G33" s="13" t="s">
        <v>31</v>
      </c>
      <c r="H33" s="13" t="s">
        <v>105</v>
      </c>
      <c r="I33" s="139" t="s">
        <v>48</v>
      </c>
      <c r="J33" s="139" t="s">
        <v>49</v>
      </c>
      <c r="K33" s="76" t="s">
        <v>33</v>
      </c>
      <c r="L33" s="74"/>
      <c r="M33" s="73" t="s">
        <v>50</v>
      </c>
      <c r="N33" s="73" t="str">
        <f>"98,3912"</f>
        <v>98,3912</v>
      </c>
      <c r="O33" s="13" t="s">
        <v>2084</v>
      </c>
    </row>
    <row r="35" spans="2:14" ht="15.75">
      <c r="B35" s="443"/>
      <c r="C35" s="558" t="s">
        <v>42</v>
      </c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</row>
    <row r="36" spans="1:15" ht="12.75">
      <c r="A36" s="28" t="s">
        <v>2208</v>
      </c>
      <c r="B36" s="443" t="s">
        <v>3489</v>
      </c>
      <c r="C36" s="58" t="s">
        <v>4349</v>
      </c>
      <c r="D36" s="9" t="s">
        <v>106</v>
      </c>
      <c r="E36" s="9" t="s">
        <v>107</v>
      </c>
      <c r="F36" s="8" t="str">
        <f>"0,7214"</f>
        <v>0,7214</v>
      </c>
      <c r="G36" s="9" t="s">
        <v>14</v>
      </c>
      <c r="H36" s="9" t="s">
        <v>1903</v>
      </c>
      <c r="I36" s="138" t="s">
        <v>108</v>
      </c>
      <c r="J36" s="75" t="s">
        <v>109</v>
      </c>
      <c r="K36" s="75" t="s">
        <v>109</v>
      </c>
      <c r="L36" s="69"/>
      <c r="M36" s="70" t="s">
        <v>110</v>
      </c>
      <c r="N36" s="70" t="str">
        <f>"137,0660"</f>
        <v>137,0660</v>
      </c>
      <c r="O36" s="9" t="s">
        <v>2085</v>
      </c>
    </row>
    <row r="37" spans="1:15" ht="12.75">
      <c r="A37" s="28" t="s">
        <v>2209</v>
      </c>
      <c r="B37" s="443"/>
      <c r="C37" s="59" t="s">
        <v>4350</v>
      </c>
      <c r="D37" s="11" t="s">
        <v>111</v>
      </c>
      <c r="E37" s="11" t="s">
        <v>112</v>
      </c>
      <c r="F37" s="10" t="str">
        <f>"0,7367"</f>
        <v>0,7367</v>
      </c>
      <c r="G37" s="11" t="s">
        <v>31</v>
      </c>
      <c r="H37" s="11" t="s">
        <v>1903</v>
      </c>
      <c r="I37" s="140" t="s">
        <v>88</v>
      </c>
      <c r="J37" s="56" t="s">
        <v>89</v>
      </c>
      <c r="K37" s="56" t="s">
        <v>89</v>
      </c>
      <c r="L37" s="72"/>
      <c r="M37" s="71" t="s">
        <v>113</v>
      </c>
      <c r="N37" s="71" t="str">
        <f>"88,4040"</f>
        <v>88,4040</v>
      </c>
      <c r="O37" s="11" t="s">
        <v>51</v>
      </c>
    </row>
    <row r="38" spans="1:15" ht="12.75">
      <c r="A38" s="28" t="s">
        <v>2208</v>
      </c>
      <c r="B38" s="443"/>
      <c r="C38" s="60" t="s">
        <v>4409</v>
      </c>
      <c r="D38" s="13" t="s">
        <v>114</v>
      </c>
      <c r="E38" s="13" t="s">
        <v>115</v>
      </c>
      <c r="F38" s="12" t="str">
        <f>"0,7345"</f>
        <v>0,7345</v>
      </c>
      <c r="G38" s="13" t="s">
        <v>31</v>
      </c>
      <c r="H38" s="13" t="s">
        <v>2237</v>
      </c>
      <c r="I38" s="139" t="s">
        <v>48</v>
      </c>
      <c r="J38" s="139" t="s">
        <v>49</v>
      </c>
      <c r="K38" s="74"/>
      <c r="L38" s="74"/>
      <c r="M38" s="73" t="s">
        <v>50</v>
      </c>
      <c r="N38" s="73" t="str">
        <f>"128,2437"</f>
        <v>128,2437</v>
      </c>
      <c r="O38" s="13" t="s">
        <v>51</v>
      </c>
    </row>
    <row r="40" spans="2:14" ht="15.75">
      <c r="B40" s="443"/>
      <c r="C40" s="558" t="s">
        <v>116</v>
      </c>
      <c r="D40" s="560"/>
      <c r="E40" s="560"/>
      <c r="F40" s="560"/>
      <c r="G40" s="560"/>
      <c r="H40" s="560"/>
      <c r="I40" s="560"/>
      <c r="J40" s="560"/>
      <c r="K40" s="560"/>
      <c r="L40" s="560"/>
      <c r="M40" s="560"/>
      <c r="N40" s="560"/>
    </row>
    <row r="41" spans="1:15" ht="12.75">
      <c r="A41" s="28" t="s">
        <v>2208</v>
      </c>
      <c r="B41" s="443" t="s">
        <v>3489</v>
      </c>
      <c r="C41" s="58" t="s">
        <v>4351</v>
      </c>
      <c r="D41" s="9" t="s">
        <v>117</v>
      </c>
      <c r="E41" s="9" t="s">
        <v>118</v>
      </c>
      <c r="F41" s="8" t="str">
        <f>"0,6724"</f>
        <v>0,6724</v>
      </c>
      <c r="G41" s="9" t="s">
        <v>2104</v>
      </c>
      <c r="H41" s="9" t="s">
        <v>119</v>
      </c>
      <c r="I41" s="138" t="s">
        <v>120</v>
      </c>
      <c r="J41" s="75" t="s">
        <v>121</v>
      </c>
      <c r="K41" s="75" t="s">
        <v>121</v>
      </c>
      <c r="L41" s="69"/>
      <c r="M41" s="70" t="s">
        <v>122</v>
      </c>
      <c r="N41" s="70" t="str">
        <f>"131,1180"</f>
        <v>131,1180</v>
      </c>
      <c r="O41" s="9" t="s">
        <v>51</v>
      </c>
    </row>
    <row r="42" spans="1:15" ht="12.75">
      <c r="A42" s="28" t="s">
        <v>2209</v>
      </c>
      <c r="B42" s="443" t="s">
        <v>2614</v>
      </c>
      <c r="C42" s="59" t="s">
        <v>4238</v>
      </c>
      <c r="D42" s="11" t="s">
        <v>123</v>
      </c>
      <c r="E42" s="11" t="s">
        <v>124</v>
      </c>
      <c r="F42" s="10" t="str">
        <f>"0,6785"</f>
        <v>0,6785</v>
      </c>
      <c r="G42" s="11" t="s">
        <v>125</v>
      </c>
      <c r="H42" s="11" t="s">
        <v>1903</v>
      </c>
      <c r="I42" s="56" t="s">
        <v>126</v>
      </c>
      <c r="J42" s="140" t="s">
        <v>126</v>
      </c>
      <c r="K42" s="56" t="s">
        <v>127</v>
      </c>
      <c r="L42" s="72"/>
      <c r="M42" s="71" t="s">
        <v>128</v>
      </c>
      <c r="N42" s="71" t="str">
        <f>"118,7375"</f>
        <v>118,7375</v>
      </c>
      <c r="O42" s="11" t="s">
        <v>1881</v>
      </c>
    </row>
    <row r="43" spans="1:15" ht="12.75">
      <c r="A43" s="28" t="s">
        <v>2210</v>
      </c>
      <c r="B43" s="443" t="s">
        <v>2215</v>
      </c>
      <c r="C43" s="59" t="s">
        <v>4352</v>
      </c>
      <c r="D43" s="11" t="s">
        <v>129</v>
      </c>
      <c r="E43" s="11" t="s">
        <v>118</v>
      </c>
      <c r="F43" s="10" t="str">
        <f>"0,6724"</f>
        <v>0,6724</v>
      </c>
      <c r="G43" s="11" t="s">
        <v>130</v>
      </c>
      <c r="H43" s="11" t="s">
        <v>1903</v>
      </c>
      <c r="I43" s="140" t="s">
        <v>131</v>
      </c>
      <c r="J43" s="56" t="s">
        <v>132</v>
      </c>
      <c r="K43" s="56" t="s">
        <v>132</v>
      </c>
      <c r="L43" s="72"/>
      <c r="M43" s="71" t="s">
        <v>133</v>
      </c>
      <c r="N43" s="71" t="str">
        <f>"97,4980"</f>
        <v>97,4980</v>
      </c>
      <c r="O43" s="11" t="s">
        <v>51</v>
      </c>
    </row>
    <row r="44" spans="1:15" ht="12.75">
      <c r="A44" s="28" t="s">
        <v>2211</v>
      </c>
      <c r="B44" s="443"/>
      <c r="C44" s="60" t="s">
        <v>4353</v>
      </c>
      <c r="D44" s="13" t="s">
        <v>134</v>
      </c>
      <c r="E44" s="13" t="s">
        <v>118</v>
      </c>
      <c r="F44" s="12" t="str">
        <f>"0,6724"</f>
        <v>0,6724</v>
      </c>
      <c r="G44" s="13" t="s">
        <v>31</v>
      </c>
      <c r="H44" s="13" t="s">
        <v>135</v>
      </c>
      <c r="I44" s="76" t="s">
        <v>89</v>
      </c>
      <c r="J44" s="139" t="s">
        <v>89</v>
      </c>
      <c r="K44" s="76" t="s">
        <v>136</v>
      </c>
      <c r="L44" s="74"/>
      <c r="M44" s="73" t="s">
        <v>90</v>
      </c>
      <c r="N44" s="73" t="str">
        <f>"87,4120"</f>
        <v>87,4120</v>
      </c>
      <c r="O44" s="13" t="s">
        <v>2086</v>
      </c>
    </row>
    <row r="46" spans="2:14" ht="15.75">
      <c r="B46" s="443"/>
      <c r="C46" s="558" t="s">
        <v>59</v>
      </c>
      <c r="D46" s="560"/>
      <c r="E46" s="560"/>
      <c r="F46" s="560"/>
      <c r="G46" s="560"/>
      <c r="H46" s="560"/>
      <c r="I46" s="560"/>
      <c r="J46" s="560"/>
      <c r="K46" s="560"/>
      <c r="L46" s="560"/>
      <c r="M46" s="560"/>
      <c r="N46" s="560"/>
    </row>
    <row r="47" spans="1:15" ht="12.75">
      <c r="A47" s="28" t="s">
        <v>2208</v>
      </c>
      <c r="B47" s="443"/>
      <c r="C47" s="58" t="s">
        <v>4354</v>
      </c>
      <c r="D47" s="9" t="s">
        <v>137</v>
      </c>
      <c r="E47" s="9" t="s">
        <v>138</v>
      </c>
      <c r="F47" s="8" t="str">
        <f>"0,6536"</f>
        <v>0,6536</v>
      </c>
      <c r="G47" s="9" t="s">
        <v>31</v>
      </c>
      <c r="H47" s="9" t="s">
        <v>69</v>
      </c>
      <c r="I47" s="75" t="s">
        <v>88</v>
      </c>
      <c r="J47" s="138" t="s">
        <v>139</v>
      </c>
      <c r="K47" s="75" t="s">
        <v>100</v>
      </c>
      <c r="L47" s="69"/>
      <c r="M47" s="70" t="s">
        <v>140</v>
      </c>
      <c r="N47" s="70" t="str">
        <f>"80,0660"</f>
        <v>80,0660</v>
      </c>
      <c r="O47" s="9" t="s">
        <v>2087</v>
      </c>
    </row>
    <row r="48" spans="1:15" ht="12.75">
      <c r="A48" s="28" t="s">
        <v>2208</v>
      </c>
      <c r="B48" s="443"/>
      <c r="C48" s="59" t="s">
        <v>4355</v>
      </c>
      <c r="D48" s="11" t="s">
        <v>141</v>
      </c>
      <c r="E48" s="11" t="s">
        <v>142</v>
      </c>
      <c r="F48" s="10" t="str">
        <f>"0,6528"</f>
        <v>0,6528</v>
      </c>
      <c r="G48" s="11" t="s">
        <v>31</v>
      </c>
      <c r="H48" s="11" t="s">
        <v>143</v>
      </c>
      <c r="I48" s="140" t="s">
        <v>63</v>
      </c>
      <c r="J48" s="56" t="s">
        <v>64</v>
      </c>
      <c r="K48" s="56" t="s">
        <v>64</v>
      </c>
      <c r="L48" s="72"/>
      <c r="M48" s="71" t="s">
        <v>65</v>
      </c>
      <c r="N48" s="71" t="str">
        <f>"101,1840"</f>
        <v>101,1840</v>
      </c>
      <c r="O48" s="11" t="s">
        <v>51</v>
      </c>
    </row>
    <row r="49" spans="1:15" ht="12.75">
      <c r="A49" s="28" t="s">
        <v>2208</v>
      </c>
      <c r="B49" s="443" t="s">
        <v>3506</v>
      </c>
      <c r="C49" s="59" t="s">
        <v>4356</v>
      </c>
      <c r="D49" s="11" t="s">
        <v>146</v>
      </c>
      <c r="E49" s="11" t="s">
        <v>147</v>
      </c>
      <c r="F49" s="10" t="str">
        <f>"0,6424"</f>
        <v>0,6424</v>
      </c>
      <c r="G49" s="11" t="s">
        <v>148</v>
      </c>
      <c r="H49" s="11" t="s">
        <v>149</v>
      </c>
      <c r="I49" s="140" t="s">
        <v>120</v>
      </c>
      <c r="J49" s="72"/>
      <c r="K49" s="72"/>
      <c r="L49" s="72"/>
      <c r="M49" s="71" t="s">
        <v>122</v>
      </c>
      <c r="N49" s="71" t="str">
        <f>"125,2680"</f>
        <v>125,2680</v>
      </c>
      <c r="O49" s="11" t="s">
        <v>2088</v>
      </c>
    </row>
    <row r="50" spans="1:15" ht="12.75">
      <c r="A50" s="28" t="s">
        <v>2209</v>
      </c>
      <c r="B50" s="443" t="s">
        <v>2614</v>
      </c>
      <c r="C50" s="59" t="s">
        <v>4357</v>
      </c>
      <c r="D50" s="11" t="s">
        <v>150</v>
      </c>
      <c r="E50" s="11" t="s">
        <v>151</v>
      </c>
      <c r="F50" s="10" t="str">
        <f>"0,6391"</f>
        <v>0,6391</v>
      </c>
      <c r="G50" s="11" t="s">
        <v>99</v>
      </c>
      <c r="H50" s="11" t="s">
        <v>152</v>
      </c>
      <c r="I50" s="140" t="s">
        <v>153</v>
      </c>
      <c r="J50" s="140" t="s">
        <v>127</v>
      </c>
      <c r="K50" s="56" t="s">
        <v>108</v>
      </c>
      <c r="L50" s="72"/>
      <c r="M50" s="71" t="s">
        <v>154</v>
      </c>
      <c r="N50" s="71" t="str">
        <f>"115,0380"</f>
        <v>115,0380</v>
      </c>
      <c r="O50" s="11" t="s">
        <v>51</v>
      </c>
    </row>
    <row r="51" spans="1:15" ht="12.75">
      <c r="A51" s="28" t="s">
        <v>2210</v>
      </c>
      <c r="B51" s="443"/>
      <c r="C51" s="59" t="s">
        <v>3884</v>
      </c>
      <c r="D51" s="11" t="s">
        <v>156</v>
      </c>
      <c r="E51" s="11" t="s">
        <v>157</v>
      </c>
      <c r="F51" s="10" t="str">
        <f>"0,6410"</f>
        <v>0,6410</v>
      </c>
      <c r="G51" s="11" t="s">
        <v>31</v>
      </c>
      <c r="H51" s="11" t="s">
        <v>1675</v>
      </c>
      <c r="I51" s="140" t="s">
        <v>126</v>
      </c>
      <c r="J51" s="72"/>
      <c r="K51" s="72"/>
      <c r="L51" s="72"/>
      <c r="M51" s="71" t="s">
        <v>128</v>
      </c>
      <c r="N51" s="71" t="str">
        <f>"112,1750"</f>
        <v>112,1750</v>
      </c>
      <c r="O51" s="11" t="s">
        <v>158</v>
      </c>
    </row>
    <row r="52" spans="1:15" ht="12.75">
      <c r="A52" s="28" t="s">
        <v>2211</v>
      </c>
      <c r="B52" s="443" t="s">
        <v>2214</v>
      </c>
      <c r="C52" s="60" t="s">
        <v>4358</v>
      </c>
      <c r="D52" s="13" t="s">
        <v>159</v>
      </c>
      <c r="E52" s="13" t="s">
        <v>160</v>
      </c>
      <c r="F52" s="12" t="str">
        <f>"0,6467"</f>
        <v>0,6467</v>
      </c>
      <c r="G52" s="13" t="s">
        <v>161</v>
      </c>
      <c r="H52" s="13" t="s">
        <v>162</v>
      </c>
      <c r="I52" s="139" t="s">
        <v>76</v>
      </c>
      <c r="J52" s="139" t="s">
        <v>153</v>
      </c>
      <c r="K52" s="76" t="s">
        <v>127</v>
      </c>
      <c r="L52" s="74"/>
      <c r="M52" s="73" t="s">
        <v>163</v>
      </c>
      <c r="N52" s="73" t="str">
        <f>"109,9390"</f>
        <v>109,9390</v>
      </c>
      <c r="O52" s="13" t="s">
        <v>1691</v>
      </c>
    </row>
    <row r="54" spans="2:14" ht="15.75">
      <c r="B54" s="443"/>
      <c r="C54" s="558" t="s">
        <v>164</v>
      </c>
      <c r="D54" s="560"/>
      <c r="E54" s="560"/>
      <c r="F54" s="560"/>
      <c r="G54" s="560"/>
      <c r="H54" s="560"/>
      <c r="I54" s="560"/>
      <c r="J54" s="560"/>
      <c r="K54" s="560"/>
      <c r="L54" s="560"/>
      <c r="M54" s="560"/>
      <c r="N54" s="560"/>
    </row>
    <row r="55" spans="1:15" ht="12.75">
      <c r="A55" s="28" t="s">
        <v>2208</v>
      </c>
      <c r="B55" s="443"/>
      <c r="C55" s="58" t="s">
        <v>4068</v>
      </c>
      <c r="D55" s="9" t="s">
        <v>166</v>
      </c>
      <c r="E55" s="9" t="s">
        <v>167</v>
      </c>
      <c r="F55" s="8" t="str">
        <f>"0,6101"</f>
        <v>0,6101</v>
      </c>
      <c r="G55" s="9" t="s">
        <v>31</v>
      </c>
      <c r="H55" s="9" t="s">
        <v>168</v>
      </c>
      <c r="I55" s="138" t="s">
        <v>108</v>
      </c>
      <c r="J55" s="138" t="s">
        <v>169</v>
      </c>
      <c r="K55" s="138" t="s">
        <v>109</v>
      </c>
      <c r="L55" s="75" t="s">
        <v>121</v>
      </c>
      <c r="M55" s="70" t="s">
        <v>170</v>
      </c>
      <c r="N55" s="70" t="str">
        <f>"123,5452"</f>
        <v>123,5452</v>
      </c>
      <c r="O55" s="9" t="s">
        <v>51</v>
      </c>
    </row>
    <row r="56" spans="1:15" ht="12.75">
      <c r="A56" s="28" t="s">
        <v>2209</v>
      </c>
      <c r="B56" s="443"/>
      <c r="C56" s="59" t="s">
        <v>4359</v>
      </c>
      <c r="D56" s="11" t="s">
        <v>172</v>
      </c>
      <c r="E56" s="11" t="s">
        <v>173</v>
      </c>
      <c r="F56" s="10" t="str">
        <f>"0,6217"</f>
        <v>0,6217</v>
      </c>
      <c r="G56" s="11" t="s">
        <v>31</v>
      </c>
      <c r="H56" s="11" t="s">
        <v>174</v>
      </c>
      <c r="I56" s="140" t="s">
        <v>175</v>
      </c>
      <c r="J56" s="56" t="s">
        <v>176</v>
      </c>
      <c r="K56" s="56" t="s">
        <v>176</v>
      </c>
      <c r="L56" s="72"/>
      <c r="M56" s="71" t="s">
        <v>177</v>
      </c>
      <c r="N56" s="71" t="str">
        <f>"115,0145"</f>
        <v>115,0145</v>
      </c>
      <c r="O56" s="11" t="s">
        <v>2089</v>
      </c>
    </row>
    <row r="57" spans="1:15" ht="12.75">
      <c r="A57" s="28" t="s">
        <v>2210</v>
      </c>
      <c r="B57" s="443"/>
      <c r="C57" s="59" t="s">
        <v>4360</v>
      </c>
      <c r="D57" s="11" t="s">
        <v>178</v>
      </c>
      <c r="E57" s="11" t="s">
        <v>179</v>
      </c>
      <c r="F57" s="10" t="str">
        <f>"0,6129"</f>
        <v>0,6129</v>
      </c>
      <c r="G57" s="11" t="s">
        <v>31</v>
      </c>
      <c r="H57" s="11" t="s">
        <v>1903</v>
      </c>
      <c r="I57" s="140" t="s">
        <v>127</v>
      </c>
      <c r="J57" s="140" t="s">
        <v>175</v>
      </c>
      <c r="K57" s="56" t="s">
        <v>108</v>
      </c>
      <c r="L57" s="72"/>
      <c r="M57" s="71" t="s">
        <v>177</v>
      </c>
      <c r="N57" s="71" t="str">
        <f>"113,3865"</f>
        <v>113,3865</v>
      </c>
      <c r="O57" s="11" t="s">
        <v>51</v>
      </c>
    </row>
    <row r="58" spans="1:15" ht="12.75">
      <c r="A58" s="28" t="s">
        <v>2211</v>
      </c>
      <c r="B58" s="443"/>
      <c r="C58" s="59" t="s">
        <v>4361</v>
      </c>
      <c r="D58" s="11" t="s">
        <v>180</v>
      </c>
      <c r="E58" s="11" t="s">
        <v>181</v>
      </c>
      <c r="F58" s="10" t="str">
        <f>"0,6200"</f>
        <v>0,6200</v>
      </c>
      <c r="G58" s="11" t="s">
        <v>31</v>
      </c>
      <c r="H58" s="11" t="s">
        <v>182</v>
      </c>
      <c r="I58" s="140" t="s">
        <v>64</v>
      </c>
      <c r="J58" s="140" t="s">
        <v>183</v>
      </c>
      <c r="K58" s="140" t="s">
        <v>153</v>
      </c>
      <c r="L58" s="72"/>
      <c r="M58" s="71" t="s">
        <v>163</v>
      </c>
      <c r="N58" s="71" t="str">
        <f>"105,4000"</f>
        <v>105,4000</v>
      </c>
      <c r="O58" s="11" t="s">
        <v>51</v>
      </c>
    </row>
    <row r="59" spans="2:15" ht="12.75">
      <c r="B59" s="443"/>
      <c r="C59" s="59" t="s">
        <v>184</v>
      </c>
      <c r="D59" s="11" t="s">
        <v>185</v>
      </c>
      <c r="E59" s="11" t="s">
        <v>186</v>
      </c>
      <c r="F59" s="10" t="str">
        <f>"0,6111"</f>
        <v>0,6111</v>
      </c>
      <c r="G59" s="11" t="s">
        <v>31</v>
      </c>
      <c r="H59" s="11" t="s">
        <v>87</v>
      </c>
      <c r="I59" s="56" t="s">
        <v>175</v>
      </c>
      <c r="J59" s="56" t="s">
        <v>175</v>
      </c>
      <c r="K59" s="56" t="s">
        <v>175</v>
      </c>
      <c r="L59" s="72"/>
      <c r="M59" s="71" t="s">
        <v>1639</v>
      </c>
      <c r="N59" s="71" t="s">
        <v>1639</v>
      </c>
      <c r="O59" s="11" t="s">
        <v>51</v>
      </c>
    </row>
    <row r="60" spans="1:15" ht="12.75">
      <c r="A60" s="28" t="s">
        <v>2208</v>
      </c>
      <c r="B60" s="443"/>
      <c r="C60" s="59" t="s">
        <v>4362</v>
      </c>
      <c r="D60" s="11" t="s">
        <v>187</v>
      </c>
      <c r="E60" s="11" t="s">
        <v>188</v>
      </c>
      <c r="F60" s="10" t="str">
        <f>"0,6134"</f>
        <v>0,6134</v>
      </c>
      <c r="G60" s="11" t="s">
        <v>31</v>
      </c>
      <c r="H60" s="11" t="s">
        <v>189</v>
      </c>
      <c r="I60" s="140" t="s">
        <v>190</v>
      </c>
      <c r="J60" s="140" t="s">
        <v>191</v>
      </c>
      <c r="K60" s="56" t="s">
        <v>192</v>
      </c>
      <c r="L60" s="72"/>
      <c r="M60" s="71" t="s">
        <v>193</v>
      </c>
      <c r="N60" s="71" t="str">
        <f>"128,8140"</f>
        <v>128,8140</v>
      </c>
      <c r="O60" s="11" t="s">
        <v>51</v>
      </c>
    </row>
    <row r="61" spans="1:15" ht="12.75">
      <c r="A61" s="28" t="s">
        <v>2209</v>
      </c>
      <c r="B61" s="443" t="s">
        <v>2614</v>
      </c>
      <c r="C61" s="59" t="s">
        <v>4363</v>
      </c>
      <c r="D61" s="11" t="s">
        <v>194</v>
      </c>
      <c r="E61" s="11" t="s">
        <v>195</v>
      </c>
      <c r="F61" s="10" t="str">
        <f>"0,6269"</f>
        <v>0,6269</v>
      </c>
      <c r="G61" s="11" t="s">
        <v>22</v>
      </c>
      <c r="H61" s="11" t="s">
        <v>196</v>
      </c>
      <c r="I61" s="140" t="s">
        <v>108</v>
      </c>
      <c r="J61" s="140" t="s">
        <v>190</v>
      </c>
      <c r="K61" s="140" t="s">
        <v>121</v>
      </c>
      <c r="L61" s="72"/>
      <c r="M61" s="71" t="s">
        <v>197</v>
      </c>
      <c r="N61" s="71" t="str">
        <f>"128,5145"</f>
        <v>128,5145</v>
      </c>
      <c r="O61" s="11" t="s">
        <v>51</v>
      </c>
    </row>
    <row r="62" spans="1:15" ht="12.75">
      <c r="A62" s="28" t="s">
        <v>2210</v>
      </c>
      <c r="B62" s="443"/>
      <c r="C62" s="59" t="s">
        <v>4364</v>
      </c>
      <c r="D62" s="11" t="s">
        <v>199</v>
      </c>
      <c r="E62" s="11" t="s">
        <v>200</v>
      </c>
      <c r="F62" s="10" t="str">
        <f>"0,6136"</f>
        <v>0,6136</v>
      </c>
      <c r="G62" s="11" t="s">
        <v>31</v>
      </c>
      <c r="H62" s="11" t="s">
        <v>201</v>
      </c>
      <c r="I62" s="140" t="s">
        <v>120</v>
      </c>
      <c r="J62" s="140" t="s">
        <v>190</v>
      </c>
      <c r="K62" s="56" t="s">
        <v>202</v>
      </c>
      <c r="L62" s="72"/>
      <c r="M62" s="71" t="s">
        <v>203</v>
      </c>
      <c r="N62" s="71" t="str">
        <f>"122,7200"</f>
        <v>122,7200</v>
      </c>
      <c r="O62" s="11" t="s">
        <v>51</v>
      </c>
    </row>
    <row r="63" spans="1:15" ht="12.75">
      <c r="A63" s="28" t="s">
        <v>2211</v>
      </c>
      <c r="B63" s="443"/>
      <c r="C63" s="59" t="s">
        <v>4365</v>
      </c>
      <c r="D63" s="11" t="s">
        <v>204</v>
      </c>
      <c r="E63" s="11" t="s">
        <v>205</v>
      </c>
      <c r="F63" s="10" t="str">
        <f>"0,6131"</f>
        <v>0,6131</v>
      </c>
      <c r="G63" s="11" t="s">
        <v>31</v>
      </c>
      <c r="H63" s="11" t="s">
        <v>1903</v>
      </c>
      <c r="I63" s="140" t="s">
        <v>120</v>
      </c>
      <c r="J63" s="140" t="s">
        <v>190</v>
      </c>
      <c r="K63" s="56" t="s">
        <v>121</v>
      </c>
      <c r="L63" s="72"/>
      <c r="M63" s="71" t="s">
        <v>203</v>
      </c>
      <c r="N63" s="71" t="str">
        <f>"122,6200"</f>
        <v>122,6200</v>
      </c>
      <c r="O63" s="11" t="s">
        <v>51</v>
      </c>
    </row>
    <row r="64" spans="1:15" ht="12.75">
      <c r="A64" s="28" t="s">
        <v>2212</v>
      </c>
      <c r="B64" s="443"/>
      <c r="C64" s="59" t="s">
        <v>4370</v>
      </c>
      <c r="D64" s="11" t="s">
        <v>207</v>
      </c>
      <c r="E64" s="11" t="s">
        <v>208</v>
      </c>
      <c r="F64" s="10" t="str">
        <f>"0,6118"</f>
        <v>0,6118</v>
      </c>
      <c r="G64" s="11" t="s">
        <v>209</v>
      </c>
      <c r="H64" s="11" t="s">
        <v>1647</v>
      </c>
      <c r="I64" s="140" t="s">
        <v>108</v>
      </c>
      <c r="J64" s="72"/>
      <c r="K64" s="72"/>
      <c r="L64" s="72"/>
      <c r="M64" s="71" t="s">
        <v>110</v>
      </c>
      <c r="N64" s="71" t="str">
        <f>"116,2420"</f>
        <v>116,2420</v>
      </c>
      <c r="O64" s="18" t="s">
        <v>2106</v>
      </c>
    </row>
    <row r="65" spans="1:15" ht="12.75">
      <c r="A65" s="28" t="s">
        <v>2213</v>
      </c>
      <c r="B65" s="443"/>
      <c r="C65" s="59" t="s">
        <v>4366</v>
      </c>
      <c r="D65" s="11" t="s">
        <v>210</v>
      </c>
      <c r="E65" s="11" t="s">
        <v>211</v>
      </c>
      <c r="F65" s="10" t="str">
        <f>"0,6229"</f>
        <v>0,6229</v>
      </c>
      <c r="G65" s="11" t="s">
        <v>31</v>
      </c>
      <c r="H65" s="11" t="s">
        <v>1903</v>
      </c>
      <c r="I65" s="56" t="s">
        <v>126</v>
      </c>
      <c r="J65" s="140" t="s">
        <v>126</v>
      </c>
      <c r="K65" s="140" t="s">
        <v>127</v>
      </c>
      <c r="L65" s="72"/>
      <c r="M65" s="71" t="s">
        <v>154</v>
      </c>
      <c r="N65" s="71" t="str">
        <f>"112,1220"</f>
        <v>112,1220</v>
      </c>
      <c r="O65" s="11" t="s">
        <v>51</v>
      </c>
    </row>
    <row r="66" spans="1:15" ht="12.75">
      <c r="A66" s="28" t="s">
        <v>2214</v>
      </c>
      <c r="B66" s="443" t="s">
        <v>2211</v>
      </c>
      <c r="C66" s="59" t="s">
        <v>4367</v>
      </c>
      <c r="D66" s="11" t="s">
        <v>212</v>
      </c>
      <c r="E66" s="11" t="s">
        <v>213</v>
      </c>
      <c r="F66" s="10" t="str">
        <f>"0,6116"</f>
        <v>0,6116</v>
      </c>
      <c r="G66" s="11" t="s">
        <v>54</v>
      </c>
      <c r="H66" s="11" t="s">
        <v>214</v>
      </c>
      <c r="I66" s="56" t="s">
        <v>127</v>
      </c>
      <c r="J66" s="140" t="s">
        <v>127</v>
      </c>
      <c r="K66" s="56" t="s">
        <v>176</v>
      </c>
      <c r="L66" s="72"/>
      <c r="M66" s="71" t="s">
        <v>154</v>
      </c>
      <c r="N66" s="71" t="str">
        <f>"110,0880"</f>
        <v>110,0880</v>
      </c>
      <c r="O66" s="11" t="s">
        <v>51</v>
      </c>
    </row>
    <row r="67" spans="1:15" ht="12.75">
      <c r="A67" s="28" t="s">
        <v>2215</v>
      </c>
      <c r="B67" s="443"/>
      <c r="C67" s="59" t="s">
        <v>4368</v>
      </c>
      <c r="D67" s="11" t="s">
        <v>215</v>
      </c>
      <c r="E67" s="11" t="s">
        <v>216</v>
      </c>
      <c r="F67" s="10" t="str">
        <f>"0,6191"</f>
        <v>0,6191</v>
      </c>
      <c r="G67" s="11" t="s">
        <v>31</v>
      </c>
      <c r="H67" s="11" t="s">
        <v>1903</v>
      </c>
      <c r="I67" s="56" t="s">
        <v>183</v>
      </c>
      <c r="J67" s="56" t="s">
        <v>183</v>
      </c>
      <c r="K67" s="140" t="s">
        <v>183</v>
      </c>
      <c r="L67" s="72"/>
      <c r="M67" s="71" t="s">
        <v>217</v>
      </c>
      <c r="N67" s="71" t="str">
        <f>"102,1515"</f>
        <v>102,1515</v>
      </c>
      <c r="O67" s="11" t="s">
        <v>2090</v>
      </c>
    </row>
    <row r="68" spans="2:15" ht="12.75">
      <c r="B68" s="443"/>
      <c r="C68" s="59" t="s">
        <v>3272</v>
      </c>
      <c r="D68" s="18" t="s">
        <v>3271</v>
      </c>
      <c r="E68" s="18" t="s">
        <v>708</v>
      </c>
      <c r="F68" s="258" t="str">
        <f>"0,6098"</f>
        <v>0,6098</v>
      </c>
      <c r="G68" s="11" t="s">
        <v>31</v>
      </c>
      <c r="H68" s="11" t="s">
        <v>1903</v>
      </c>
      <c r="I68" s="56" t="s">
        <v>153</v>
      </c>
      <c r="J68" s="56" t="s">
        <v>126</v>
      </c>
      <c r="K68" s="56" t="s">
        <v>126</v>
      </c>
      <c r="L68" s="72"/>
      <c r="M68" s="71" t="s">
        <v>1639</v>
      </c>
      <c r="N68" s="71" t="s">
        <v>1639</v>
      </c>
      <c r="O68" s="11" t="s">
        <v>51</v>
      </c>
    </row>
    <row r="69" spans="1:15" ht="12.75">
      <c r="A69" s="28" t="s">
        <v>2208</v>
      </c>
      <c r="B69" s="443"/>
      <c r="C69" s="59" t="s">
        <v>4364</v>
      </c>
      <c r="D69" s="11" t="s">
        <v>218</v>
      </c>
      <c r="E69" s="11" t="s">
        <v>200</v>
      </c>
      <c r="F69" s="10" t="str">
        <f>"0,6136"</f>
        <v>0,6136</v>
      </c>
      <c r="G69" s="11" t="s">
        <v>31</v>
      </c>
      <c r="H69" s="11" t="s">
        <v>201</v>
      </c>
      <c r="I69" s="140" t="s">
        <v>120</v>
      </c>
      <c r="J69" s="140" t="s">
        <v>190</v>
      </c>
      <c r="K69" s="56" t="s">
        <v>202</v>
      </c>
      <c r="L69" s="72"/>
      <c r="M69" s="71" t="s">
        <v>203</v>
      </c>
      <c r="N69" s="71" t="str">
        <f>"122,7200"</f>
        <v>122,7200</v>
      </c>
      <c r="O69" s="11" t="s">
        <v>51</v>
      </c>
    </row>
    <row r="70" spans="1:15" ht="12.75">
      <c r="A70" s="28" t="s">
        <v>2209</v>
      </c>
      <c r="B70" s="443" t="s">
        <v>3493</v>
      </c>
      <c r="C70" s="59" t="s">
        <v>4367</v>
      </c>
      <c r="D70" s="11" t="s">
        <v>219</v>
      </c>
      <c r="E70" s="11" t="s">
        <v>213</v>
      </c>
      <c r="F70" s="10" t="str">
        <f>"0,6116"</f>
        <v>0,6116</v>
      </c>
      <c r="G70" s="11" t="s">
        <v>54</v>
      </c>
      <c r="H70" s="11" t="s">
        <v>214</v>
      </c>
      <c r="I70" s="56" t="s">
        <v>127</v>
      </c>
      <c r="J70" s="140" t="s">
        <v>127</v>
      </c>
      <c r="K70" s="56" t="s">
        <v>176</v>
      </c>
      <c r="L70" s="72"/>
      <c r="M70" s="71" t="s">
        <v>154</v>
      </c>
      <c r="N70" s="71" t="str">
        <f>"111,6292"</f>
        <v>111,6292</v>
      </c>
      <c r="O70" s="11" t="s">
        <v>51</v>
      </c>
    </row>
    <row r="71" spans="1:15" ht="12.75">
      <c r="A71" s="28" t="s">
        <v>2210</v>
      </c>
      <c r="B71" s="443"/>
      <c r="C71" s="59" t="s">
        <v>4369</v>
      </c>
      <c r="D71" s="11" t="s">
        <v>220</v>
      </c>
      <c r="E71" s="11" t="s">
        <v>221</v>
      </c>
      <c r="F71" s="10" t="str">
        <f>"0,6108"</f>
        <v>0,6108</v>
      </c>
      <c r="G71" s="11" t="s">
        <v>31</v>
      </c>
      <c r="H71" s="11" t="s">
        <v>222</v>
      </c>
      <c r="I71" s="140" t="s">
        <v>153</v>
      </c>
      <c r="J71" s="56" t="s">
        <v>127</v>
      </c>
      <c r="K71" s="56" t="s">
        <v>127</v>
      </c>
      <c r="L71" s="72"/>
      <c r="M71" s="71" t="s">
        <v>163</v>
      </c>
      <c r="N71" s="71" t="str">
        <f>"104,3552"</f>
        <v>104,3552</v>
      </c>
      <c r="O71" s="11" t="s">
        <v>27</v>
      </c>
    </row>
    <row r="72" spans="1:15" ht="12.75">
      <c r="A72" s="28" t="s">
        <v>2208</v>
      </c>
      <c r="B72" s="443"/>
      <c r="C72" s="59" t="s">
        <v>4370</v>
      </c>
      <c r="D72" s="11" t="s">
        <v>223</v>
      </c>
      <c r="E72" s="11" t="s">
        <v>208</v>
      </c>
      <c r="F72" s="10" t="str">
        <f>"0,6118"</f>
        <v>0,6118</v>
      </c>
      <c r="G72" s="11" t="s">
        <v>209</v>
      </c>
      <c r="H72" s="11" t="s">
        <v>1942</v>
      </c>
      <c r="I72" s="140" t="s">
        <v>108</v>
      </c>
      <c r="J72" s="72"/>
      <c r="K72" s="72"/>
      <c r="L72" s="72"/>
      <c r="M72" s="71" t="s">
        <v>110</v>
      </c>
      <c r="N72" s="71" t="str">
        <f>"127,4012"</f>
        <v>127,4012</v>
      </c>
      <c r="O72" s="18" t="s">
        <v>2106</v>
      </c>
    </row>
    <row r="73" spans="1:15" ht="12.75">
      <c r="A73" s="28" t="s">
        <v>2209</v>
      </c>
      <c r="B73" s="443"/>
      <c r="C73" s="59" t="s">
        <v>4371</v>
      </c>
      <c r="D73" s="11" t="s">
        <v>224</v>
      </c>
      <c r="E73" s="11" t="s">
        <v>216</v>
      </c>
      <c r="F73" s="10" t="str">
        <f>"0,6191"</f>
        <v>0,6191</v>
      </c>
      <c r="G73" s="11" t="s">
        <v>31</v>
      </c>
      <c r="H73" s="11" t="s">
        <v>1903</v>
      </c>
      <c r="I73" s="56" t="s">
        <v>183</v>
      </c>
      <c r="J73" s="56" t="s">
        <v>183</v>
      </c>
      <c r="K73" s="140" t="s">
        <v>183</v>
      </c>
      <c r="L73" s="72"/>
      <c r="M73" s="71" t="s">
        <v>217</v>
      </c>
      <c r="N73" s="71" t="str">
        <f>"113,7968"</f>
        <v>113,7968</v>
      </c>
      <c r="O73" s="11" t="s">
        <v>2090</v>
      </c>
    </row>
    <row r="74" spans="1:15" ht="12.75">
      <c r="A74" s="28" t="s">
        <v>2208</v>
      </c>
      <c r="B74" s="443" t="s">
        <v>3526</v>
      </c>
      <c r="C74" s="60" t="s">
        <v>4372</v>
      </c>
      <c r="D74" s="13" t="s">
        <v>225</v>
      </c>
      <c r="E74" s="13" t="s">
        <v>226</v>
      </c>
      <c r="F74" s="12" t="str">
        <f>"0,6147"</f>
        <v>0,6147</v>
      </c>
      <c r="G74" s="13" t="s">
        <v>54</v>
      </c>
      <c r="H74" s="13" t="s">
        <v>1695</v>
      </c>
      <c r="I74" s="139" t="s">
        <v>76</v>
      </c>
      <c r="J74" s="139" t="s">
        <v>183</v>
      </c>
      <c r="K74" s="76" t="s">
        <v>153</v>
      </c>
      <c r="L74" s="74"/>
      <c r="M74" s="73" t="s">
        <v>217</v>
      </c>
      <c r="N74" s="73" t="str">
        <f>"116,6393"</f>
        <v>116,6393</v>
      </c>
      <c r="O74" s="13" t="s">
        <v>51</v>
      </c>
    </row>
    <row r="76" spans="2:14" ht="15.75">
      <c r="B76" s="443"/>
      <c r="C76" s="558" t="s">
        <v>227</v>
      </c>
      <c r="D76" s="560"/>
      <c r="E76" s="560"/>
      <c r="F76" s="560"/>
      <c r="G76" s="560"/>
      <c r="H76" s="560"/>
      <c r="I76" s="560"/>
      <c r="J76" s="560"/>
      <c r="K76" s="560"/>
      <c r="L76" s="560"/>
      <c r="M76" s="560"/>
      <c r="N76" s="560"/>
    </row>
    <row r="77" spans="1:15" ht="12.75">
      <c r="A77" s="28" t="s">
        <v>2208</v>
      </c>
      <c r="B77" s="443" t="s">
        <v>3526</v>
      </c>
      <c r="C77" s="58" t="s">
        <v>4373</v>
      </c>
      <c r="D77" s="9" t="s">
        <v>229</v>
      </c>
      <c r="E77" s="9" t="s">
        <v>230</v>
      </c>
      <c r="F77" s="8" t="str">
        <f>"0,6057"</f>
        <v>0,6057</v>
      </c>
      <c r="G77" s="9" t="s">
        <v>14</v>
      </c>
      <c r="H77" s="9" t="s">
        <v>1903</v>
      </c>
      <c r="I77" s="138" t="s">
        <v>132</v>
      </c>
      <c r="J77" s="138" t="s">
        <v>64</v>
      </c>
      <c r="K77" s="75" t="s">
        <v>153</v>
      </c>
      <c r="L77" s="69"/>
      <c r="M77" s="70" t="s">
        <v>231</v>
      </c>
      <c r="N77" s="70" t="str">
        <f>"96,9120"</f>
        <v>96,9120</v>
      </c>
      <c r="O77" s="9" t="s">
        <v>1664</v>
      </c>
    </row>
    <row r="78" spans="1:15" ht="12.75">
      <c r="A78" s="28" t="s">
        <v>2208</v>
      </c>
      <c r="B78" s="443" t="s">
        <v>3526</v>
      </c>
      <c r="C78" s="59" t="s">
        <v>4374</v>
      </c>
      <c r="D78" s="11" t="s">
        <v>232</v>
      </c>
      <c r="E78" s="11" t="s">
        <v>233</v>
      </c>
      <c r="F78" s="10" t="str">
        <f>"0,5930"</f>
        <v>0,5930</v>
      </c>
      <c r="G78" s="11" t="s">
        <v>14</v>
      </c>
      <c r="H78" s="11" t="s">
        <v>1903</v>
      </c>
      <c r="I78" s="140" t="s">
        <v>127</v>
      </c>
      <c r="J78" s="56" t="s">
        <v>176</v>
      </c>
      <c r="K78" s="56" t="s">
        <v>176</v>
      </c>
      <c r="L78" s="72"/>
      <c r="M78" s="71" t="s">
        <v>154</v>
      </c>
      <c r="N78" s="71" t="str">
        <f>"106,7400"</f>
        <v>106,7400</v>
      </c>
      <c r="O78" s="11" t="s">
        <v>51</v>
      </c>
    </row>
    <row r="79" spans="1:15" ht="12.75">
      <c r="A79" s="28" t="s">
        <v>2208</v>
      </c>
      <c r="B79" s="443"/>
      <c r="C79" s="59" t="s">
        <v>3939</v>
      </c>
      <c r="D79" s="11" t="s">
        <v>235</v>
      </c>
      <c r="E79" s="11" t="s">
        <v>236</v>
      </c>
      <c r="F79" s="10" t="str">
        <f>"0,6011"</f>
        <v>0,6011</v>
      </c>
      <c r="G79" s="11" t="s">
        <v>31</v>
      </c>
      <c r="H79" s="11" t="s">
        <v>87</v>
      </c>
      <c r="I79" s="140" t="s">
        <v>237</v>
      </c>
      <c r="J79" s="56" t="s">
        <v>238</v>
      </c>
      <c r="K79" s="140" t="s">
        <v>239</v>
      </c>
      <c r="L79" s="72"/>
      <c r="M79" s="71" t="s">
        <v>240</v>
      </c>
      <c r="N79" s="71" t="str">
        <f>"141,2585"</f>
        <v>141,2585</v>
      </c>
      <c r="O79" s="11" t="s">
        <v>51</v>
      </c>
    </row>
    <row r="80" spans="1:15" ht="12.75">
      <c r="A80" s="28" t="s">
        <v>2209</v>
      </c>
      <c r="B80" s="443"/>
      <c r="C80" s="59" t="s">
        <v>4375</v>
      </c>
      <c r="D80" s="11" t="s">
        <v>242</v>
      </c>
      <c r="E80" s="11" t="s">
        <v>243</v>
      </c>
      <c r="F80" s="10" t="str">
        <f>"0,5958"</f>
        <v>0,5958</v>
      </c>
      <c r="G80" s="11" t="s">
        <v>31</v>
      </c>
      <c r="H80" s="11" t="s">
        <v>244</v>
      </c>
      <c r="I80" s="140" t="s">
        <v>245</v>
      </c>
      <c r="J80" s="140" t="s">
        <v>246</v>
      </c>
      <c r="K80" s="140" t="s">
        <v>239</v>
      </c>
      <c r="L80" s="72"/>
      <c r="M80" s="71" t="s">
        <v>240</v>
      </c>
      <c r="N80" s="71" t="str">
        <f>"140,0130"</f>
        <v>140,0130</v>
      </c>
      <c r="O80" s="11" t="s">
        <v>51</v>
      </c>
    </row>
    <row r="81" spans="1:15" ht="12.75">
      <c r="A81" s="28" t="s">
        <v>2210</v>
      </c>
      <c r="B81" s="443"/>
      <c r="C81" s="59" t="s">
        <v>4376</v>
      </c>
      <c r="D81" s="11" t="s">
        <v>247</v>
      </c>
      <c r="E81" s="11" t="s">
        <v>248</v>
      </c>
      <c r="F81" s="10" t="str">
        <f>"0,5921"</f>
        <v>0,5921</v>
      </c>
      <c r="G81" s="11" t="s">
        <v>31</v>
      </c>
      <c r="H81" s="11" t="s">
        <v>1903</v>
      </c>
      <c r="I81" s="140" t="s">
        <v>191</v>
      </c>
      <c r="J81" s="140" t="s">
        <v>237</v>
      </c>
      <c r="K81" s="56" t="s">
        <v>245</v>
      </c>
      <c r="L81" s="72"/>
      <c r="M81" s="71" t="s">
        <v>249</v>
      </c>
      <c r="N81" s="71" t="str">
        <f>"130,2620"</f>
        <v>130,2620</v>
      </c>
      <c r="O81" s="11" t="s">
        <v>2091</v>
      </c>
    </row>
    <row r="82" spans="1:15" ht="12.75">
      <c r="A82" s="28" t="s">
        <v>2211</v>
      </c>
      <c r="B82" s="443"/>
      <c r="C82" s="59" t="s">
        <v>4377</v>
      </c>
      <c r="D82" s="11" t="s">
        <v>250</v>
      </c>
      <c r="E82" s="11" t="s">
        <v>251</v>
      </c>
      <c r="F82" s="10" t="str">
        <f>"0,6030"</f>
        <v>0,6030</v>
      </c>
      <c r="G82" s="11" t="s">
        <v>31</v>
      </c>
      <c r="H82" s="11" t="s">
        <v>1903</v>
      </c>
      <c r="I82" s="140" t="s">
        <v>252</v>
      </c>
      <c r="J82" s="56" t="s">
        <v>253</v>
      </c>
      <c r="K82" s="56" t="s">
        <v>253</v>
      </c>
      <c r="L82" s="72"/>
      <c r="M82" s="71" t="s">
        <v>254</v>
      </c>
      <c r="N82" s="71" t="str">
        <f>"131,1525"</f>
        <v>131,1525</v>
      </c>
      <c r="O82" s="11" t="s">
        <v>51</v>
      </c>
    </row>
    <row r="83" spans="1:15" ht="12.75">
      <c r="A83" s="28" t="s">
        <v>2212</v>
      </c>
      <c r="B83" s="443"/>
      <c r="C83" s="59" t="s">
        <v>4378</v>
      </c>
      <c r="D83" s="11" t="s">
        <v>255</v>
      </c>
      <c r="E83" s="11" t="s">
        <v>256</v>
      </c>
      <c r="F83" s="10" t="str">
        <f>"0,5917"</f>
        <v>0,5917</v>
      </c>
      <c r="G83" s="11" t="s">
        <v>31</v>
      </c>
      <c r="H83" s="11" t="s">
        <v>174</v>
      </c>
      <c r="I83" s="140" t="s">
        <v>192</v>
      </c>
      <c r="J83" s="56" t="s">
        <v>253</v>
      </c>
      <c r="K83" s="56" t="s">
        <v>253</v>
      </c>
      <c r="L83" s="72"/>
      <c r="M83" s="71" t="s">
        <v>257</v>
      </c>
      <c r="N83" s="71" t="str">
        <f>"127,2155"</f>
        <v>127,2155</v>
      </c>
      <c r="O83" s="11" t="s">
        <v>258</v>
      </c>
    </row>
    <row r="84" spans="1:15" ht="12.75">
      <c r="A84" s="28" t="s">
        <v>2213</v>
      </c>
      <c r="B84" s="443"/>
      <c r="C84" s="59" t="s">
        <v>4379</v>
      </c>
      <c r="D84" s="11" t="s">
        <v>259</v>
      </c>
      <c r="E84" s="11" t="s">
        <v>260</v>
      </c>
      <c r="F84" s="10" t="str">
        <f>"0,6002"</f>
        <v>0,6002</v>
      </c>
      <c r="G84" s="11" t="s">
        <v>31</v>
      </c>
      <c r="H84" s="11" t="s">
        <v>1903</v>
      </c>
      <c r="I84" s="140" t="s">
        <v>175</v>
      </c>
      <c r="J84" s="56" t="s">
        <v>190</v>
      </c>
      <c r="K84" s="140" t="s">
        <v>190</v>
      </c>
      <c r="L84" s="72"/>
      <c r="M84" s="71" t="s">
        <v>203</v>
      </c>
      <c r="N84" s="71" t="str">
        <f>"120,0400"</f>
        <v>120,0400</v>
      </c>
      <c r="O84" s="11" t="s">
        <v>2092</v>
      </c>
    </row>
    <row r="85" spans="1:15" ht="12.75">
      <c r="A85" s="28" t="s">
        <v>2214</v>
      </c>
      <c r="B85" s="443"/>
      <c r="C85" s="59" t="s">
        <v>4380</v>
      </c>
      <c r="D85" s="11" t="s">
        <v>261</v>
      </c>
      <c r="E85" s="11" t="s">
        <v>262</v>
      </c>
      <c r="F85" s="10" t="str">
        <f>"0,5928"</f>
        <v>0,5928</v>
      </c>
      <c r="G85" s="11" t="s">
        <v>31</v>
      </c>
      <c r="H85" s="11" t="s">
        <v>1903</v>
      </c>
      <c r="I85" s="140" t="s">
        <v>153</v>
      </c>
      <c r="J85" s="140" t="s">
        <v>127</v>
      </c>
      <c r="K85" s="140" t="s">
        <v>176</v>
      </c>
      <c r="L85" s="72"/>
      <c r="M85" s="71" t="s">
        <v>263</v>
      </c>
      <c r="N85" s="71" t="str">
        <f>"114,1140"</f>
        <v>114,1140</v>
      </c>
      <c r="O85" s="11" t="s">
        <v>51</v>
      </c>
    </row>
    <row r="86" spans="1:15" ht="12.75">
      <c r="A86" s="28" t="s">
        <v>2215</v>
      </c>
      <c r="B86" s="443"/>
      <c r="C86" s="59" t="s">
        <v>4381</v>
      </c>
      <c r="D86" s="11" t="s">
        <v>264</v>
      </c>
      <c r="E86" s="11" t="s">
        <v>265</v>
      </c>
      <c r="F86" s="10" t="str">
        <f>"0,5982"</f>
        <v>0,5982</v>
      </c>
      <c r="G86" s="11" t="s">
        <v>31</v>
      </c>
      <c r="H86" s="11" t="s">
        <v>1903</v>
      </c>
      <c r="I86" s="56" t="s">
        <v>127</v>
      </c>
      <c r="J86" s="140" t="s">
        <v>175</v>
      </c>
      <c r="K86" s="56" t="s">
        <v>176</v>
      </c>
      <c r="L86" s="72"/>
      <c r="M86" s="71" t="s">
        <v>177</v>
      </c>
      <c r="N86" s="71" t="str">
        <f>"110,6670"</f>
        <v>110,6670</v>
      </c>
      <c r="O86" s="11" t="s">
        <v>51</v>
      </c>
    </row>
    <row r="87" spans="1:15" ht="12.75">
      <c r="A87" s="28" t="s">
        <v>3493</v>
      </c>
      <c r="B87" s="443"/>
      <c r="C87" s="59" t="s">
        <v>4382</v>
      </c>
      <c r="D87" s="11" t="s">
        <v>4404</v>
      </c>
      <c r="E87" s="11" t="s">
        <v>266</v>
      </c>
      <c r="F87" s="10" t="str">
        <f>"0,5988"</f>
        <v>0,5988</v>
      </c>
      <c r="G87" s="11" t="s">
        <v>31</v>
      </c>
      <c r="H87" s="11" t="s">
        <v>267</v>
      </c>
      <c r="I87" s="140" t="s">
        <v>268</v>
      </c>
      <c r="J87" s="140" t="s">
        <v>126</v>
      </c>
      <c r="K87" s="140" t="s">
        <v>269</v>
      </c>
      <c r="L87" s="444"/>
      <c r="M87" s="71" t="s">
        <v>270</v>
      </c>
      <c r="N87" s="10" t="str">
        <f>"106,2870"</f>
        <v>106,2870</v>
      </c>
      <c r="O87" s="11" t="s">
        <v>4405</v>
      </c>
    </row>
    <row r="88" spans="2:15" ht="12.75">
      <c r="B88" s="443"/>
      <c r="C88" s="59" t="s">
        <v>271</v>
      </c>
      <c r="D88" s="11" t="s">
        <v>272</v>
      </c>
      <c r="E88" s="11" t="s">
        <v>273</v>
      </c>
      <c r="F88" s="10" t="str">
        <f>"0,5941"</f>
        <v>0,5941</v>
      </c>
      <c r="G88" s="11" t="s">
        <v>31</v>
      </c>
      <c r="H88" s="11" t="s">
        <v>1903</v>
      </c>
      <c r="I88" s="56" t="s">
        <v>127</v>
      </c>
      <c r="J88" s="56" t="s">
        <v>127</v>
      </c>
      <c r="K88" s="56" t="s">
        <v>127</v>
      </c>
      <c r="L88" s="72"/>
      <c r="M88" s="71" t="s">
        <v>1639</v>
      </c>
      <c r="N88" s="71" t="s">
        <v>1639</v>
      </c>
      <c r="O88" s="11" t="s">
        <v>51</v>
      </c>
    </row>
    <row r="89" spans="1:15" ht="12.75">
      <c r="A89" s="28" t="s">
        <v>2208</v>
      </c>
      <c r="B89" s="443"/>
      <c r="C89" s="59" t="s">
        <v>4375</v>
      </c>
      <c r="D89" s="11" t="s">
        <v>274</v>
      </c>
      <c r="E89" s="11" t="s">
        <v>243</v>
      </c>
      <c r="F89" s="10" t="str">
        <f>"0,5958"</f>
        <v>0,5958</v>
      </c>
      <c r="G89" s="11" t="s">
        <v>31</v>
      </c>
      <c r="H89" s="11" t="s">
        <v>2251</v>
      </c>
      <c r="I89" s="140" t="s">
        <v>245</v>
      </c>
      <c r="J89" s="140" t="s">
        <v>246</v>
      </c>
      <c r="K89" s="140" t="s">
        <v>239</v>
      </c>
      <c r="L89" s="72"/>
      <c r="M89" s="71" t="s">
        <v>240</v>
      </c>
      <c r="N89" s="71" t="str">
        <f>"146,1736"</f>
        <v>146,1736</v>
      </c>
      <c r="O89" s="11" t="s">
        <v>51</v>
      </c>
    </row>
    <row r="90" spans="1:15" ht="12.75">
      <c r="A90" s="28" t="s">
        <v>2209</v>
      </c>
      <c r="B90" s="443" t="s">
        <v>2614</v>
      </c>
      <c r="C90" s="59" t="s">
        <v>4383</v>
      </c>
      <c r="D90" s="11" t="s">
        <v>275</v>
      </c>
      <c r="E90" s="11" t="s">
        <v>276</v>
      </c>
      <c r="F90" s="10" t="str">
        <f>"0,5980"</f>
        <v>0,5980</v>
      </c>
      <c r="G90" s="11" t="s">
        <v>130</v>
      </c>
      <c r="H90" s="11" t="s">
        <v>2245</v>
      </c>
      <c r="I90" s="140" t="s">
        <v>176</v>
      </c>
      <c r="J90" s="140" t="s">
        <v>190</v>
      </c>
      <c r="K90" s="56" t="s">
        <v>191</v>
      </c>
      <c r="L90" s="72"/>
      <c r="M90" s="71" t="s">
        <v>203</v>
      </c>
      <c r="N90" s="71" t="str">
        <f>"120,1980"</f>
        <v>120,1980</v>
      </c>
      <c r="O90" s="11" t="s">
        <v>51</v>
      </c>
    </row>
    <row r="91" spans="1:15" ht="12.75">
      <c r="A91" s="28" t="s">
        <v>2210</v>
      </c>
      <c r="B91" s="443" t="s">
        <v>3391</v>
      </c>
      <c r="C91" s="59" t="s">
        <v>4384</v>
      </c>
      <c r="D91" s="11" t="s">
        <v>277</v>
      </c>
      <c r="E91" s="11" t="s">
        <v>278</v>
      </c>
      <c r="F91" s="10" t="str">
        <f>"0,6055"</f>
        <v>0,6055</v>
      </c>
      <c r="G91" s="11" t="s">
        <v>125</v>
      </c>
      <c r="H91" s="11" t="s">
        <v>279</v>
      </c>
      <c r="I91" s="140" t="s">
        <v>176</v>
      </c>
      <c r="J91" s="140" t="s">
        <v>120</v>
      </c>
      <c r="K91" s="140" t="s">
        <v>169</v>
      </c>
      <c r="L91" s="72"/>
      <c r="M91" s="71" t="s">
        <v>280</v>
      </c>
      <c r="N91" s="71" t="str">
        <f>"119,5862"</f>
        <v>119,5862</v>
      </c>
      <c r="O91" s="11" t="s">
        <v>51</v>
      </c>
    </row>
    <row r="92" spans="1:15" ht="12.75">
      <c r="A92" s="28" t="s">
        <v>2211</v>
      </c>
      <c r="B92" s="443" t="s">
        <v>3351</v>
      </c>
      <c r="C92" s="59" t="s">
        <v>4385</v>
      </c>
      <c r="D92" s="11" t="s">
        <v>281</v>
      </c>
      <c r="E92" s="11" t="s">
        <v>282</v>
      </c>
      <c r="F92" s="10" t="str">
        <f>"0,5966"</f>
        <v>0,5966</v>
      </c>
      <c r="G92" s="11" t="s">
        <v>99</v>
      </c>
      <c r="H92" s="11" t="s">
        <v>152</v>
      </c>
      <c r="I92" s="140" t="s">
        <v>175</v>
      </c>
      <c r="J92" s="140" t="s">
        <v>176</v>
      </c>
      <c r="K92" s="56" t="s">
        <v>169</v>
      </c>
      <c r="L92" s="72"/>
      <c r="M92" s="71" t="s">
        <v>263</v>
      </c>
      <c r="N92" s="71" t="str">
        <f>"115,4197"</f>
        <v>115,4197</v>
      </c>
      <c r="O92" s="11" t="s">
        <v>51</v>
      </c>
    </row>
    <row r="93" spans="2:15" ht="12.75">
      <c r="B93" s="443"/>
      <c r="C93" s="59" t="s">
        <v>283</v>
      </c>
      <c r="D93" s="11" t="s">
        <v>284</v>
      </c>
      <c r="E93" s="11" t="s">
        <v>285</v>
      </c>
      <c r="F93" s="10" t="str">
        <f>"0,5946"</f>
        <v>0,5946</v>
      </c>
      <c r="G93" s="11" t="s">
        <v>31</v>
      </c>
      <c r="H93" s="11" t="s">
        <v>286</v>
      </c>
      <c r="I93" s="56" t="s">
        <v>176</v>
      </c>
      <c r="J93" s="56" t="s">
        <v>176</v>
      </c>
      <c r="K93" s="56" t="s">
        <v>176</v>
      </c>
      <c r="L93" s="72"/>
      <c r="M93" s="71" t="s">
        <v>1639</v>
      </c>
      <c r="N93" s="71" t="s">
        <v>1639</v>
      </c>
      <c r="O93" s="11" t="s">
        <v>2093</v>
      </c>
    </row>
    <row r="94" spans="1:15" ht="12.75">
      <c r="A94" s="28" t="s">
        <v>2208</v>
      </c>
      <c r="B94" s="443"/>
      <c r="C94" s="59" t="s">
        <v>4386</v>
      </c>
      <c r="D94" s="11" t="s">
        <v>287</v>
      </c>
      <c r="E94" s="11" t="s">
        <v>288</v>
      </c>
      <c r="F94" s="10" t="str">
        <f>"0,5976"</f>
        <v>0,5976</v>
      </c>
      <c r="G94" s="11" t="s">
        <v>31</v>
      </c>
      <c r="H94" s="11" t="s">
        <v>69</v>
      </c>
      <c r="I94" s="140" t="s">
        <v>63</v>
      </c>
      <c r="J94" s="140" t="s">
        <v>183</v>
      </c>
      <c r="K94" s="140" t="s">
        <v>153</v>
      </c>
      <c r="L94" s="72"/>
      <c r="M94" s="71" t="s">
        <v>163</v>
      </c>
      <c r="N94" s="71" t="str">
        <f>"111,3448"</f>
        <v>111,3448</v>
      </c>
      <c r="O94" s="11" t="s">
        <v>51</v>
      </c>
    </row>
    <row r="95" spans="1:15" ht="12.75">
      <c r="A95" s="28" t="s">
        <v>2209</v>
      </c>
      <c r="B95" s="443"/>
      <c r="C95" s="59" t="s">
        <v>4387</v>
      </c>
      <c r="D95" s="11" t="s">
        <v>289</v>
      </c>
      <c r="E95" s="11" t="s">
        <v>290</v>
      </c>
      <c r="F95" s="10" t="str">
        <f>"0,5933"</f>
        <v>0,5933</v>
      </c>
      <c r="G95" s="11" t="s">
        <v>31</v>
      </c>
      <c r="H95" s="11" t="s">
        <v>291</v>
      </c>
      <c r="I95" s="140" t="s">
        <v>64</v>
      </c>
      <c r="J95" s="140" t="s">
        <v>77</v>
      </c>
      <c r="K95" s="56" t="s">
        <v>268</v>
      </c>
      <c r="L95" s="72"/>
      <c r="M95" s="71" t="s">
        <v>78</v>
      </c>
      <c r="N95" s="71" t="str">
        <f>"103,9313"</f>
        <v>103,9313</v>
      </c>
      <c r="O95" s="11" t="s">
        <v>51</v>
      </c>
    </row>
    <row r="96" spans="1:15" ht="12.75">
      <c r="A96" s="28" t="s">
        <v>2208</v>
      </c>
      <c r="B96" s="443"/>
      <c r="C96" s="59" t="s">
        <v>4388</v>
      </c>
      <c r="D96" s="11" t="s">
        <v>292</v>
      </c>
      <c r="E96" s="11" t="s">
        <v>293</v>
      </c>
      <c r="F96" s="10" t="str">
        <f>"0,5903"</f>
        <v>0,5903</v>
      </c>
      <c r="G96" s="11" t="s">
        <v>31</v>
      </c>
      <c r="H96" s="11" t="s">
        <v>294</v>
      </c>
      <c r="I96" s="140" t="s">
        <v>127</v>
      </c>
      <c r="J96" s="140" t="s">
        <v>176</v>
      </c>
      <c r="K96" s="56" t="s">
        <v>295</v>
      </c>
      <c r="L96" s="72"/>
      <c r="M96" s="71" t="s">
        <v>263</v>
      </c>
      <c r="N96" s="71" t="str">
        <f>"137,1547"</f>
        <v>137,1547</v>
      </c>
      <c r="O96" s="11" t="s">
        <v>51</v>
      </c>
    </row>
    <row r="97" spans="1:15" ht="12.75">
      <c r="A97" s="28" t="s">
        <v>2209</v>
      </c>
      <c r="B97" s="443"/>
      <c r="C97" s="59" t="s">
        <v>4389</v>
      </c>
      <c r="D97" s="11" t="s">
        <v>296</v>
      </c>
      <c r="E97" s="11" t="s">
        <v>273</v>
      </c>
      <c r="F97" s="10" t="str">
        <f>"0,5941"</f>
        <v>0,5941</v>
      </c>
      <c r="G97" s="11" t="s">
        <v>31</v>
      </c>
      <c r="H97" s="11" t="s">
        <v>105</v>
      </c>
      <c r="I97" s="140" t="s">
        <v>131</v>
      </c>
      <c r="J97" s="140" t="s">
        <v>297</v>
      </c>
      <c r="K97" s="56" t="s">
        <v>63</v>
      </c>
      <c r="L97" s="72"/>
      <c r="M97" s="71" t="s">
        <v>298</v>
      </c>
      <c r="N97" s="71" t="str">
        <f>"111,2571"</f>
        <v>111,2571</v>
      </c>
      <c r="O97" s="11" t="s">
        <v>2094</v>
      </c>
    </row>
    <row r="98" spans="1:15" ht="12.75">
      <c r="A98" s="28" t="s">
        <v>2208</v>
      </c>
      <c r="B98" s="443"/>
      <c r="C98" s="59" t="s">
        <v>4382</v>
      </c>
      <c r="D98" s="11" t="s">
        <v>1697</v>
      </c>
      <c r="E98" s="11" t="s">
        <v>266</v>
      </c>
      <c r="F98" s="10" t="str">
        <f>"0,5988"</f>
        <v>0,5988</v>
      </c>
      <c r="G98" s="11" t="s">
        <v>31</v>
      </c>
      <c r="H98" s="11" t="s">
        <v>267</v>
      </c>
      <c r="I98" s="140" t="s">
        <v>268</v>
      </c>
      <c r="J98" s="140" t="s">
        <v>126</v>
      </c>
      <c r="K98" s="140" t="s">
        <v>269</v>
      </c>
      <c r="L98" s="72"/>
      <c r="M98" s="71" t="s">
        <v>270</v>
      </c>
      <c r="N98" s="71" t="str">
        <f>"106,2870"</f>
        <v>106,2870</v>
      </c>
      <c r="O98" s="11" t="s">
        <v>2095</v>
      </c>
    </row>
    <row r="99" spans="1:15" ht="12.75">
      <c r="A99" s="28" t="s">
        <v>2208</v>
      </c>
      <c r="B99" s="443" t="s">
        <v>3526</v>
      </c>
      <c r="C99" s="60" t="s">
        <v>4410</v>
      </c>
      <c r="D99" s="13" t="s">
        <v>299</v>
      </c>
      <c r="E99" s="13" t="s">
        <v>300</v>
      </c>
      <c r="F99" s="12" t="str">
        <f>"0,6041"</f>
        <v>0,6041</v>
      </c>
      <c r="G99" s="13" t="s">
        <v>301</v>
      </c>
      <c r="H99" s="13" t="s">
        <v>302</v>
      </c>
      <c r="I99" s="139" t="s">
        <v>303</v>
      </c>
      <c r="J99" s="139" t="s">
        <v>24</v>
      </c>
      <c r="K99" s="76" t="s">
        <v>25</v>
      </c>
      <c r="L99" s="74"/>
      <c r="M99" s="73" t="s">
        <v>26</v>
      </c>
      <c r="N99" s="73" t="str">
        <f>"97,4761"</f>
        <v>97,4761</v>
      </c>
      <c r="O99" s="13" t="s">
        <v>2070</v>
      </c>
    </row>
    <row r="101" spans="2:14" ht="15.75">
      <c r="B101" s="443"/>
      <c r="C101" s="558" t="s">
        <v>304</v>
      </c>
      <c r="D101" s="560"/>
      <c r="E101" s="560"/>
      <c r="F101" s="560"/>
      <c r="G101" s="560"/>
      <c r="H101" s="560"/>
      <c r="I101" s="560"/>
      <c r="J101" s="560"/>
      <c r="K101" s="560"/>
      <c r="L101" s="560"/>
      <c r="M101" s="560"/>
      <c r="N101" s="560"/>
    </row>
    <row r="102" spans="1:15" ht="12.75">
      <c r="A102" s="28" t="s">
        <v>2208</v>
      </c>
      <c r="B102" s="443"/>
      <c r="C102" s="58" t="s">
        <v>4390</v>
      </c>
      <c r="D102" s="9" t="s">
        <v>306</v>
      </c>
      <c r="E102" s="9" t="s">
        <v>307</v>
      </c>
      <c r="F102" s="8" t="str">
        <f>"0,5864"</f>
        <v>0,5864</v>
      </c>
      <c r="G102" s="9" t="s">
        <v>31</v>
      </c>
      <c r="H102" s="9" t="s">
        <v>308</v>
      </c>
      <c r="I102" s="138" t="s">
        <v>127</v>
      </c>
      <c r="J102" s="138" t="s">
        <v>108</v>
      </c>
      <c r="K102" s="138" t="s">
        <v>120</v>
      </c>
      <c r="L102" s="75" t="s">
        <v>190</v>
      </c>
      <c r="M102" s="70" t="s">
        <v>122</v>
      </c>
      <c r="N102" s="70" t="str">
        <f>"114,3480"</f>
        <v>114,3480</v>
      </c>
      <c r="O102" s="9" t="s">
        <v>1906</v>
      </c>
    </row>
    <row r="103" spans="1:15" ht="12.75">
      <c r="A103" s="28" t="s">
        <v>2208</v>
      </c>
      <c r="B103" s="443" t="s">
        <v>3506</v>
      </c>
      <c r="C103" s="59" t="s">
        <v>4391</v>
      </c>
      <c r="D103" s="11" t="s">
        <v>310</v>
      </c>
      <c r="E103" s="11" t="s">
        <v>311</v>
      </c>
      <c r="F103" s="10" t="str">
        <f>"0,5880"</f>
        <v>0,5880</v>
      </c>
      <c r="G103" s="11" t="s">
        <v>4513</v>
      </c>
      <c r="H103" s="11" t="s">
        <v>1737</v>
      </c>
      <c r="I103" s="140" t="s">
        <v>192</v>
      </c>
      <c r="J103" s="140" t="s">
        <v>253</v>
      </c>
      <c r="K103" s="56" t="s">
        <v>312</v>
      </c>
      <c r="L103" s="72"/>
      <c r="M103" s="71" t="s">
        <v>313</v>
      </c>
      <c r="N103" s="71" t="str">
        <f>"130,8300"</f>
        <v>130,8300</v>
      </c>
      <c r="O103" s="11" t="s">
        <v>2096</v>
      </c>
    </row>
    <row r="104" spans="1:15" ht="12.75">
      <c r="A104" s="28" t="s">
        <v>2208</v>
      </c>
      <c r="B104" s="443" t="s">
        <v>3489</v>
      </c>
      <c r="C104" s="59" t="s">
        <v>4392</v>
      </c>
      <c r="D104" s="11" t="s">
        <v>315</v>
      </c>
      <c r="E104" s="11" t="s">
        <v>316</v>
      </c>
      <c r="F104" s="10" t="str">
        <f>"0,5843"</f>
        <v>0,5843</v>
      </c>
      <c r="G104" s="11" t="s">
        <v>2104</v>
      </c>
      <c r="H104" s="11" t="s">
        <v>1903</v>
      </c>
      <c r="I104" s="140" t="s">
        <v>317</v>
      </c>
      <c r="J104" s="140" t="s">
        <v>318</v>
      </c>
      <c r="K104" s="140" t="s">
        <v>319</v>
      </c>
      <c r="L104" s="72"/>
      <c r="M104" s="71" t="s">
        <v>320</v>
      </c>
      <c r="N104" s="71" t="str">
        <f>"146,0750"</f>
        <v>146,0750</v>
      </c>
      <c r="O104" s="11" t="s">
        <v>321</v>
      </c>
    </row>
    <row r="105" spans="1:15" ht="12.75">
      <c r="A105" s="28" t="s">
        <v>2209</v>
      </c>
      <c r="B105" s="443"/>
      <c r="C105" s="59" t="s">
        <v>4393</v>
      </c>
      <c r="D105" s="11" t="s">
        <v>323</v>
      </c>
      <c r="E105" s="11" t="s">
        <v>324</v>
      </c>
      <c r="F105" s="10" t="str">
        <f>"0,5795"</f>
        <v>0,5795</v>
      </c>
      <c r="G105" s="11" t="s">
        <v>31</v>
      </c>
      <c r="H105" s="11" t="s">
        <v>174</v>
      </c>
      <c r="I105" s="140" t="s">
        <v>317</v>
      </c>
      <c r="J105" s="56" t="s">
        <v>319</v>
      </c>
      <c r="K105" s="140" t="s">
        <v>319</v>
      </c>
      <c r="L105" s="72"/>
      <c r="M105" s="71" t="s">
        <v>320</v>
      </c>
      <c r="N105" s="71" t="str">
        <f>"144,8750"</f>
        <v>144,8750</v>
      </c>
      <c r="O105" s="11" t="s">
        <v>51</v>
      </c>
    </row>
    <row r="106" spans="1:15" ht="12.75">
      <c r="A106" s="28" t="s">
        <v>2210</v>
      </c>
      <c r="B106" s="443"/>
      <c r="C106" s="59" t="s">
        <v>4394</v>
      </c>
      <c r="D106" s="11" t="s">
        <v>326</v>
      </c>
      <c r="E106" s="11" t="s">
        <v>327</v>
      </c>
      <c r="F106" s="10" t="str">
        <f>"0,5757"</f>
        <v>0,5757</v>
      </c>
      <c r="G106" s="11" t="s">
        <v>209</v>
      </c>
      <c r="H106" s="11" t="s">
        <v>2130</v>
      </c>
      <c r="I106" s="140" t="s">
        <v>317</v>
      </c>
      <c r="J106" s="72"/>
      <c r="K106" s="72"/>
      <c r="L106" s="72"/>
      <c r="M106" s="71" t="s">
        <v>328</v>
      </c>
      <c r="N106" s="71" t="str">
        <f>"138,1680"</f>
        <v>138,1680</v>
      </c>
      <c r="O106" s="11" t="s">
        <v>2105</v>
      </c>
    </row>
    <row r="107" spans="1:15" ht="12.75">
      <c r="A107" s="28" t="s">
        <v>2211</v>
      </c>
      <c r="B107" s="443" t="s">
        <v>3351</v>
      </c>
      <c r="C107" s="59" t="s">
        <v>4395</v>
      </c>
      <c r="D107" s="11" t="s">
        <v>330</v>
      </c>
      <c r="E107" s="11" t="s">
        <v>331</v>
      </c>
      <c r="F107" s="10" t="str">
        <f>"0,5805"</f>
        <v>0,5805</v>
      </c>
      <c r="G107" s="11" t="s">
        <v>301</v>
      </c>
      <c r="H107" s="11" t="s">
        <v>302</v>
      </c>
      <c r="I107" s="140" t="s">
        <v>238</v>
      </c>
      <c r="J107" s="56" t="s">
        <v>317</v>
      </c>
      <c r="K107" s="56" t="s">
        <v>317</v>
      </c>
      <c r="L107" s="72"/>
      <c r="M107" s="71" t="s">
        <v>332</v>
      </c>
      <c r="N107" s="71" t="str">
        <f>"133,5150"</f>
        <v>133,5150</v>
      </c>
      <c r="O107" s="11" t="s">
        <v>2071</v>
      </c>
    </row>
    <row r="108" spans="1:15" ht="12.75">
      <c r="A108" s="28" t="s">
        <v>2212</v>
      </c>
      <c r="B108" s="443"/>
      <c r="C108" s="59" t="s">
        <v>4396</v>
      </c>
      <c r="D108" s="11" t="s">
        <v>333</v>
      </c>
      <c r="E108" s="11" t="s">
        <v>334</v>
      </c>
      <c r="F108" s="10" t="str">
        <f>"0,5819"</f>
        <v>0,5819</v>
      </c>
      <c r="G108" s="11" t="s">
        <v>31</v>
      </c>
      <c r="H108" s="11" t="s">
        <v>168</v>
      </c>
      <c r="I108" s="140" t="s">
        <v>237</v>
      </c>
      <c r="J108" s="56" t="s">
        <v>239</v>
      </c>
      <c r="K108" s="56" t="s">
        <v>239</v>
      </c>
      <c r="L108" s="72"/>
      <c r="M108" s="71" t="s">
        <v>249</v>
      </c>
      <c r="N108" s="71" t="str">
        <f>"128,0180"</f>
        <v>128,0180</v>
      </c>
      <c r="O108" s="11" t="s">
        <v>51</v>
      </c>
    </row>
    <row r="109" spans="1:15" ht="12.75">
      <c r="A109" s="28" t="s">
        <v>2213</v>
      </c>
      <c r="B109" s="443" t="s">
        <v>2212</v>
      </c>
      <c r="C109" s="59" t="s">
        <v>4221</v>
      </c>
      <c r="D109" s="11" t="s">
        <v>335</v>
      </c>
      <c r="E109" s="11" t="s">
        <v>336</v>
      </c>
      <c r="F109" s="10" t="str">
        <f>"0,5749"</f>
        <v>0,5749</v>
      </c>
      <c r="G109" s="11" t="s">
        <v>2104</v>
      </c>
      <c r="H109" s="11" t="s">
        <v>337</v>
      </c>
      <c r="I109" s="140" t="s">
        <v>190</v>
      </c>
      <c r="J109" s="72"/>
      <c r="K109" s="72"/>
      <c r="L109" s="72"/>
      <c r="M109" s="71" t="s">
        <v>203</v>
      </c>
      <c r="N109" s="71" t="str">
        <f>"114,9800"</f>
        <v>114,9800</v>
      </c>
      <c r="O109" s="11" t="s">
        <v>321</v>
      </c>
    </row>
    <row r="110" spans="1:15" ht="12.75">
      <c r="A110" s="28" t="s">
        <v>2208</v>
      </c>
      <c r="B110" s="443" t="s">
        <v>3506</v>
      </c>
      <c r="C110" s="59" t="s">
        <v>4395</v>
      </c>
      <c r="D110" s="11" t="s">
        <v>342</v>
      </c>
      <c r="E110" s="11" t="s">
        <v>331</v>
      </c>
      <c r="F110" s="10" t="str">
        <f>"0,5805"</f>
        <v>0,5805</v>
      </c>
      <c r="G110" s="11" t="s">
        <v>301</v>
      </c>
      <c r="H110" s="11" t="s">
        <v>302</v>
      </c>
      <c r="I110" s="140" t="s">
        <v>238</v>
      </c>
      <c r="J110" s="56" t="s">
        <v>317</v>
      </c>
      <c r="K110" s="56" t="s">
        <v>317</v>
      </c>
      <c r="L110" s="72"/>
      <c r="M110" s="71" t="s">
        <v>332</v>
      </c>
      <c r="N110" s="71" t="str">
        <f>"137,2534"</f>
        <v>137,2534</v>
      </c>
      <c r="O110" s="11" t="s">
        <v>2071</v>
      </c>
    </row>
    <row r="111" spans="1:15" ht="12.75">
      <c r="A111" s="28" t="s">
        <v>2209</v>
      </c>
      <c r="B111" s="443" t="s">
        <v>2614</v>
      </c>
      <c r="C111" s="59" t="s">
        <v>4397</v>
      </c>
      <c r="D111" s="11" t="s">
        <v>343</v>
      </c>
      <c r="E111" s="11" t="s">
        <v>344</v>
      </c>
      <c r="F111" s="10" t="str">
        <f>"0,5860"</f>
        <v>0,5860</v>
      </c>
      <c r="G111" s="11" t="s">
        <v>99</v>
      </c>
      <c r="H111" s="11" t="s">
        <v>152</v>
      </c>
      <c r="I111" s="140" t="s">
        <v>192</v>
      </c>
      <c r="J111" s="56" t="s">
        <v>253</v>
      </c>
      <c r="K111" s="140" t="s">
        <v>253</v>
      </c>
      <c r="L111" s="72"/>
      <c r="M111" s="71" t="s">
        <v>313</v>
      </c>
      <c r="N111" s="71" t="str">
        <f>"134,0358"</f>
        <v>134,0358</v>
      </c>
      <c r="O111" s="11" t="s">
        <v>51</v>
      </c>
    </row>
    <row r="112" spans="1:15" ht="12.75">
      <c r="A112" s="28" t="s">
        <v>2210</v>
      </c>
      <c r="B112" s="443"/>
      <c r="C112" s="59" t="s">
        <v>4398</v>
      </c>
      <c r="D112" s="11" t="s">
        <v>345</v>
      </c>
      <c r="E112" s="11" t="s">
        <v>346</v>
      </c>
      <c r="F112" s="10" t="str">
        <f>"0,5801"</f>
        <v>0,5801</v>
      </c>
      <c r="G112" s="11" t="s">
        <v>31</v>
      </c>
      <c r="H112" s="11" t="s">
        <v>347</v>
      </c>
      <c r="I112" s="140" t="s">
        <v>175</v>
      </c>
      <c r="J112" s="140" t="s">
        <v>176</v>
      </c>
      <c r="K112" s="56" t="s">
        <v>109</v>
      </c>
      <c r="L112" s="72"/>
      <c r="M112" s="71" t="s">
        <v>263</v>
      </c>
      <c r="N112" s="71" t="str">
        <f>"113,2326"</f>
        <v>113,2326</v>
      </c>
      <c r="O112" s="11" t="s">
        <v>51</v>
      </c>
    </row>
    <row r="113" spans="1:15" ht="12.75">
      <c r="A113" s="28" t="s">
        <v>2208</v>
      </c>
      <c r="B113" s="443"/>
      <c r="C113" s="59" t="s">
        <v>4399</v>
      </c>
      <c r="D113" s="11" t="s">
        <v>348</v>
      </c>
      <c r="E113" s="11" t="s">
        <v>349</v>
      </c>
      <c r="F113" s="10" t="str">
        <f>"0,5792"</f>
        <v>0,5792</v>
      </c>
      <c r="G113" s="11" t="s">
        <v>31</v>
      </c>
      <c r="H113" s="11" t="s">
        <v>267</v>
      </c>
      <c r="I113" s="140" t="s">
        <v>126</v>
      </c>
      <c r="J113" s="56" t="s">
        <v>350</v>
      </c>
      <c r="K113" s="140" t="s">
        <v>350</v>
      </c>
      <c r="L113" s="72"/>
      <c r="M113" s="71" t="s">
        <v>351</v>
      </c>
      <c r="N113" s="71" t="str">
        <f>"121,5596"</f>
        <v>121,5596</v>
      </c>
      <c r="O113" s="11" t="s">
        <v>51</v>
      </c>
    </row>
    <row r="114" spans="1:15" ht="12.75">
      <c r="A114" s="28" t="s">
        <v>2208</v>
      </c>
      <c r="B114" s="443"/>
      <c r="C114" s="60" t="s">
        <v>4400</v>
      </c>
      <c r="D114" s="13" t="s">
        <v>353</v>
      </c>
      <c r="E114" s="13" t="s">
        <v>354</v>
      </c>
      <c r="F114" s="12" t="str">
        <f>"0,5834"</f>
        <v>0,5834</v>
      </c>
      <c r="G114" s="13" t="s">
        <v>31</v>
      </c>
      <c r="H114" s="13" t="s">
        <v>105</v>
      </c>
      <c r="I114" s="139" t="s">
        <v>63</v>
      </c>
      <c r="J114" s="139" t="s">
        <v>77</v>
      </c>
      <c r="K114" s="76" t="s">
        <v>268</v>
      </c>
      <c r="L114" s="74"/>
      <c r="M114" s="73" t="s">
        <v>78</v>
      </c>
      <c r="N114" s="73" t="str">
        <f>"139,3597"</f>
        <v>139,3597</v>
      </c>
      <c r="O114" s="13" t="s">
        <v>1674</v>
      </c>
    </row>
    <row r="116" spans="2:14" ht="15.75">
      <c r="B116" s="443"/>
      <c r="C116" s="558" t="s">
        <v>355</v>
      </c>
      <c r="D116" s="560"/>
      <c r="E116" s="560"/>
      <c r="F116" s="560"/>
      <c r="G116" s="560"/>
      <c r="H116" s="560"/>
      <c r="I116" s="560"/>
      <c r="J116" s="560"/>
      <c r="K116" s="560"/>
      <c r="L116" s="560"/>
      <c r="M116" s="560"/>
      <c r="N116" s="560"/>
    </row>
    <row r="117" spans="1:15" ht="12.75">
      <c r="A117" s="28" t="s">
        <v>2208</v>
      </c>
      <c r="B117" s="443" t="s">
        <v>3526</v>
      </c>
      <c r="C117" s="58" t="s">
        <v>4401</v>
      </c>
      <c r="D117" s="9" t="s">
        <v>356</v>
      </c>
      <c r="E117" s="9" t="s">
        <v>357</v>
      </c>
      <c r="F117" s="8" t="str">
        <f>"0,5691"</f>
        <v>0,5691</v>
      </c>
      <c r="G117" s="9" t="s">
        <v>14</v>
      </c>
      <c r="H117" s="9" t="s">
        <v>1903</v>
      </c>
      <c r="I117" s="75" t="s">
        <v>108</v>
      </c>
      <c r="J117" s="138" t="s">
        <v>108</v>
      </c>
      <c r="K117" s="75" t="s">
        <v>121</v>
      </c>
      <c r="L117" s="69"/>
      <c r="M117" s="70" t="s">
        <v>110</v>
      </c>
      <c r="N117" s="70" t="str">
        <f>"108,1290"</f>
        <v>108,1290</v>
      </c>
      <c r="O117" s="9" t="s">
        <v>1664</v>
      </c>
    </row>
    <row r="118" spans="1:15" ht="12.75">
      <c r="A118" s="28" t="s">
        <v>2208</v>
      </c>
      <c r="B118" s="443"/>
      <c r="C118" s="59" t="s">
        <v>358</v>
      </c>
      <c r="D118" s="11" t="s">
        <v>359</v>
      </c>
      <c r="E118" s="11" t="s">
        <v>360</v>
      </c>
      <c r="F118" s="10" t="str">
        <f>"0,5684"</f>
        <v>0,5684</v>
      </c>
      <c r="G118" s="11" t="s">
        <v>31</v>
      </c>
      <c r="H118" s="11" t="s">
        <v>1903</v>
      </c>
      <c r="I118" s="56" t="s">
        <v>191</v>
      </c>
      <c r="J118" s="56" t="s">
        <v>191</v>
      </c>
      <c r="K118" s="56" t="s">
        <v>191</v>
      </c>
      <c r="L118" s="72"/>
      <c r="M118" s="71" t="s">
        <v>1639</v>
      </c>
      <c r="N118" s="71" t="s">
        <v>1639</v>
      </c>
      <c r="O118" s="11" t="s">
        <v>2097</v>
      </c>
    </row>
    <row r="119" spans="1:15" ht="12.75">
      <c r="A119" s="28" t="s">
        <v>2208</v>
      </c>
      <c r="B119" s="443" t="s">
        <v>3506</v>
      </c>
      <c r="C119" s="60" t="s">
        <v>4402</v>
      </c>
      <c r="D119" s="13" t="s">
        <v>362</v>
      </c>
      <c r="E119" s="13" t="s">
        <v>363</v>
      </c>
      <c r="F119" s="12" t="str">
        <f>"0,5662"</f>
        <v>0,5662</v>
      </c>
      <c r="G119" s="13" t="s">
        <v>301</v>
      </c>
      <c r="H119" s="13" t="s">
        <v>302</v>
      </c>
      <c r="I119" s="139" t="s">
        <v>253</v>
      </c>
      <c r="J119" s="74"/>
      <c r="K119" s="74"/>
      <c r="L119" s="74"/>
      <c r="M119" s="73" t="s">
        <v>313</v>
      </c>
      <c r="N119" s="73" t="str">
        <f>"125,9795"</f>
        <v>125,9795</v>
      </c>
      <c r="O119" s="13" t="s">
        <v>51</v>
      </c>
    </row>
    <row r="121" spans="2:14" ht="15.75">
      <c r="B121" s="443"/>
      <c r="C121" s="558" t="s">
        <v>364</v>
      </c>
      <c r="D121" s="560"/>
      <c r="E121" s="560"/>
      <c r="F121" s="560"/>
      <c r="G121" s="560"/>
      <c r="H121" s="560"/>
      <c r="I121" s="560"/>
      <c r="J121" s="560"/>
      <c r="K121" s="560"/>
      <c r="L121" s="560"/>
      <c r="M121" s="560"/>
      <c r="N121" s="560"/>
    </row>
    <row r="122" spans="1:15" ht="12.75">
      <c r="A122" s="28" t="s">
        <v>2208</v>
      </c>
      <c r="B122" s="443"/>
      <c r="C122" s="58" t="s">
        <v>4403</v>
      </c>
      <c r="D122" s="460" t="s">
        <v>366</v>
      </c>
      <c r="E122" s="9" t="s">
        <v>367</v>
      </c>
      <c r="F122" s="8" t="str">
        <f>"0,5339"</f>
        <v>0,5339</v>
      </c>
      <c r="G122" s="83" t="s">
        <v>1536</v>
      </c>
      <c r="H122" s="88" t="s">
        <v>2140</v>
      </c>
      <c r="I122" s="138" t="s">
        <v>317</v>
      </c>
      <c r="J122" s="75" t="s">
        <v>368</v>
      </c>
      <c r="K122" s="69"/>
      <c r="L122" s="69"/>
      <c r="M122" s="70" t="s">
        <v>328</v>
      </c>
      <c r="N122" s="70" t="str">
        <f>"128,1360"</f>
        <v>128,1360</v>
      </c>
      <c r="O122" s="9" t="s">
        <v>1906</v>
      </c>
    </row>
    <row r="123" spans="1:15" ht="12.75">
      <c r="A123" s="28" t="s">
        <v>2208</v>
      </c>
      <c r="B123" s="443"/>
      <c r="C123" s="60" t="s">
        <v>4403</v>
      </c>
      <c r="D123" s="462" t="s">
        <v>369</v>
      </c>
      <c r="E123" s="13" t="s">
        <v>367</v>
      </c>
      <c r="F123" s="12" t="str">
        <f>"0,5339"</f>
        <v>0,5339</v>
      </c>
      <c r="G123" s="94" t="s">
        <v>1536</v>
      </c>
      <c r="H123" s="95" t="s">
        <v>2140</v>
      </c>
      <c r="I123" s="139" t="s">
        <v>317</v>
      </c>
      <c r="J123" s="76" t="s">
        <v>368</v>
      </c>
      <c r="K123" s="74"/>
      <c r="L123" s="74"/>
      <c r="M123" s="73" t="s">
        <v>328</v>
      </c>
      <c r="N123" s="73" t="str">
        <f>"128,1360"</f>
        <v>128,1360</v>
      </c>
      <c r="O123" s="13" t="s">
        <v>1906</v>
      </c>
    </row>
    <row r="125" spans="3:4" ht="18">
      <c r="C125" s="62" t="s">
        <v>370</v>
      </c>
      <c r="D125" s="62"/>
    </row>
    <row r="126" spans="3:4" ht="15.75">
      <c r="C126" s="63" t="s">
        <v>371</v>
      </c>
      <c r="D126" s="63"/>
    </row>
    <row r="127" spans="3:4" ht="13.5">
      <c r="C127" s="64"/>
      <c r="D127" s="66" t="s">
        <v>2102</v>
      </c>
    </row>
    <row r="128" spans="3:7" ht="13.5">
      <c r="C128" s="65" t="s">
        <v>373</v>
      </c>
      <c r="D128" s="14" t="s">
        <v>374</v>
      </c>
      <c r="E128" s="14" t="s">
        <v>375</v>
      </c>
      <c r="F128" s="14" t="s">
        <v>376</v>
      </c>
      <c r="G128" s="14" t="s">
        <v>377</v>
      </c>
    </row>
    <row r="129" spans="1:7" ht="12.75">
      <c r="A129" s="28" t="s">
        <v>2208</v>
      </c>
      <c r="C129" s="113" t="s">
        <v>60</v>
      </c>
      <c r="D129" s="1" t="s">
        <v>372</v>
      </c>
      <c r="E129" s="1" t="s">
        <v>378</v>
      </c>
      <c r="F129" s="1" t="s">
        <v>63</v>
      </c>
      <c r="G129" s="28" t="s">
        <v>379</v>
      </c>
    </row>
    <row r="130" spans="1:7" ht="12.75">
      <c r="A130" s="28" t="s">
        <v>2209</v>
      </c>
      <c r="C130" s="113" t="s">
        <v>19</v>
      </c>
      <c r="D130" s="1" t="s">
        <v>372</v>
      </c>
      <c r="E130" s="1" t="s">
        <v>380</v>
      </c>
      <c r="F130" s="1" t="s">
        <v>24</v>
      </c>
      <c r="G130" s="28" t="s">
        <v>381</v>
      </c>
    </row>
    <row r="131" spans="1:7" ht="12.75">
      <c r="A131" s="28" t="s">
        <v>2210</v>
      </c>
      <c r="C131" s="113" t="s">
        <v>28</v>
      </c>
      <c r="D131" s="1" t="s">
        <v>372</v>
      </c>
      <c r="E131" s="1" t="s">
        <v>380</v>
      </c>
      <c r="F131" s="1" t="s">
        <v>33</v>
      </c>
      <c r="G131" s="28" t="s">
        <v>382</v>
      </c>
    </row>
    <row r="132" spans="4:7" ht="12.75">
      <c r="D132" s="1"/>
      <c r="E132" s="1"/>
      <c r="G132" s="1"/>
    </row>
    <row r="133" spans="3:7" ht="15.75">
      <c r="C133" s="63" t="s">
        <v>387</v>
      </c>
      <c r="D133" s="182"/>
      <c r="E133" s="1"/>
      <c r="G133" s="1"/>
    </row>
    <row r="134" spans="3:7" ht="13.5">
      <c r="C134" s="64"/>
      <c r="D134" s="183" t="s">
        <v>2102</v>
      </c>
      <c r="E134" s="1"/>
      <c r="G134" s="1"/>
    </row>
    <row r="135" spans="3:7" ht="13.5">
      <c r="C135" s="65" t="s">
        <v>373</v>
      </c>
      <c r="D135" s="14" t="s">
        <v>374</v>
      </c>
      <c r="E135" s="14" t="s">
        <v>375</v>
      </c>
      <c r="F135" s="14" t="s">
        <v>376</v>
      </c>
      <c r="G135" s="14" t="s">
        <v>377</v>
      </c>
    </row>
    <row r="136" spans="1:7" ht="12.75">
      <c r="A136" s="28" t="s">
        <v>2208</v>
      </c>
      <c r="C136" s="113" t="s">
        <v>305</v>
      </c>
      <c r="D136" s="1" t="s">
        <v>388</v>
      </c>
      <c r="E136" s="1" t="s">
        <v>389</v>
      </c>
      <c r="F136" s="1" t="s">
        <v>120</v>
      </c>
      <c r="G136" s="28" t="s">
        <v>390</v>
      </c>
    </row>
    <row r="137" spans="1:7" ht="12.75">
      <c r="A137" s="28" t="s">
        <v>2209</v>
      </c>
      <c r="C137" s="113" t="s">
        <v>84</v>
      </c>
      <c r="D137" s="1" t="s">
        <v>388</v>
      </c>
      <c r="E137" s="1" t="s">
        <v>380</v>
      </c>
      <c r="F137" s="1" t="s">
        <v>89</v>
      </c>
      <c r="G137" s="28" t="s">
        <v>391</v>
      </c>
    </row>
    <row r="138" spans="1:7" ht="12.75">
      <c r="A138" s="28" t="s">
        <v>2210</v>
      </c>
      <c r="C138" s="113" t="s">
        <v>228</v>
      </c>
      <c r="D138" s="1" t="s">
        <v>388</v>
      </c>
      <c r="E138" s="1" t="s">
        <v>392</v>
      </c>
      <c r="F138" s="1" t="s">
        <v>64</v>
      </c>
      <c r="G138" s="28" t="s">
        <v>393</v>
      </c>
    </row>
    <row r="139" spans="3:7" ht="13.5">
      <c r="C139" s="64"/>
      <c r="D139" s="183" t="s">
        <v>2102</v>
      </c>
      <c r="E139" s="1"/>
      <c r="G139" s="1"/>
    </row>
    <row r="140" spans="3:7" ht="13.5">
      <c r="C140" s="65" t="s">
        <v>373</v>
      </c>
      <c r="D140" s="14" t="s">
        <v>374</v>
      </c>
      <c r="E140" s="14" t="s">
        <v>375</v>
      </c>
      <c r="F140" s="14" t="s">
        <v>376</v>
      </c>
      <c r="G140" s="14" t="s">
        <v>377</v>
      </c>
    </row>
    <row r="141" spans="1:7" ht="12.75">
      <c r="A141" s="28" t="s">
        <v>2208</v>
      </c>
      <c r="C141" s="113" t="s">
        <v>309</v>
      </c>
      <c r="D141" s="1" t="s">
        <v>395</v>
      </c>
      <c r="E141" s="1" t="s">
        <v>389</v>
      </c>
      <c r="F141" s="1" t="s">
        <v>253</v>
      </c>
      <c r="G141" s="28" t="s">
        <v>396</v>
      </c>
    </row>
    <row r="142" spans="1:7" ht="12.75">
      <c r="A142" s="28" t="s">
        <v>2209</v>
      </c>
      <c r="C142" s="113" t="s">
        <v>165</v>
      </c>
      <c r="D142" s="1" t="s">
        <v>395</v>
      </c>
      <c r="E142" s="1" t="s">
        <v>397</v>
      </c>
      <c r="F142" s="1" t="s">
        <v>109</v>
      </c>
      <c r="G142" s="28" t="s">
        <v>398</v>
      </c>
    </row>
    <row r="143" spans="1:7" ht="12.75">
      <c r="A143" s="28" t="s">
        <v>2210</v>
      </c>
      <c r="C143" s="113" t="s">
        <v>171</v>
      </c>
      <c r="D143" s="1" t="s">
        <v>395</v>
      </c>
      <c r="E143" s="1" t="s">
        <v>397</v>
      </c>
      <c r="F143" s="1" t="s">
        <v>175</v>
      </c>
      <c r="G143" s="28" t="s">
        <v>399</v>
      </c>
    </row>
    <row r="144" spans="3:7" ht="13.5">
      <c r="C144" s="64"/>
      <c r="D144" s="183" t="s">
        <v>2102</v>
      </c>
      <c r="E144" s="1"/>
      <c r="G144" s="1"/>
    </row>
    <row r="145" spans="3:7" ht="13.5">
      <c r="C145" s="65" t="s">
        <v>373</v>
      </c>
      <c r="D145" s="14" t="s">
        <v>374</v>
      </c>
      <c r="E145" s="14" t="s">
        <v>375</v>
      </c>
      <c r="F145" s="14" t="s">
        <v>376</v>
      </c>
      <c r="G145" s="14" t="s">
        <v>377</v>
      </c>
    </row>
    <row r="146" spans="1:7" ht="12.75">
      <c r="A146" s="28" t="s">
        <v>2208</v>
      </c>
      <c r="C146" s="113" t="s">
        <v>73</v>
      </c>
      <c r="D146" s="1" t="s">
        <v>372</v>
      </c>
      <c r="E146" s="1" t="s">
        <v>385</v>
      </c>
      <c r="F146" s="1" t="s">
        <v>77</v>
      </c>
      <c r="G146" s="28" t="s">
        <v>401</v>
      </c>
    </row>
    <row r="147" spans="1:7" ht="12.75">
      <c r="A147" s="28" t="s">
        <v>2209</v>
      </c>
      <c r="C147" s="113" t="s">
        <v>314</v>
      </c>
      <c r="D147" s="1" t="s">
        <v>372</v>
      </c>
      <c r="E147" s="1" t="s">
        <v>389</v>
      </c>
      <c r="F147" s="1" t="s">
        <v>319</v>
      </c>
      <c r="G147" s="28" t="s">
        <v>402</v>
      </c>
    </row>
    <row r="148" spans="1:7" ht="12.75">
      <c r="A148" s="28" t="s">
        <v>2210</v>
      </c>
      <c r="C148" s="113" t="s">
        <v>322</v>
      </c>
      <c r="D148" s="1" t="s">
        <v>372</v>
      </c>
      <c r="E148" s="1" t="s">
        <v>389</v>
      </c>
      <c r="F148" s="1" t="s">
        <v>319</v>
      </c>
      <c r="G148" s="28" t="s">
        <v>403</v>
      </c>
    </row>
    <row r="149" spans="3:7" ht="13.5">
      <c r="C149" s="64"/>
      <c r="D149" s="183" t="s">
        <v>2102</v>
      </c>
      <c r="E149" s="1"/>
      <c r="G149" s="1"/>
    </row>
    <row r="150" spans="3:7" ht="13.5">
      <c r="C150" s="65" t="s">
        <v>373</v>
      </c>
      <c r="D150" s="14" t="s">
        <v>374</v>
      </c>
      <c r="E150" s="14" t="s">
        <v>375</v>
      </c>
      <c r="F150" s="14" t="s">
        <v>376</v>
      </c>
      <c r="G150" s="14" t="s">
        <v>377</v>
      </c>
    </row>
    <row r="151" spans="1:7" ht="12.75">
      <c r="A151" s="28" t="s">
        <v>2208</v>
      </c>
      <c r="C151" s="113" t="s">
        <v>241</v>
      </c>
      <c r="D151" s="1" t="s">
        <v>386</v>
      </c>
      <c r="E151" s="1" t="s">
        <v>392</v>
      </c>
      <c r="F151" s="1" t="s">
        <v>239</v>
      </c>
      <c r="G151" s="28" t="s">
        <v>406</v>
      </c>
    </row>
    <row r="152" spans="1:7" ht="12.75">
      <c r="A152" s="28" t="s">
        <v>2209</v>
      </c>
      <c r="C152" s="113" t="s">
        <v>352</v>
      </c>
      <c r="D152" s="1" t="s">
        <v>407</v>
      </c>
      <c r="E152" s="1" t="s">
        <v>389</v>
      </c>
      <c r="F152" s="1" t="s">
        <v>77</v>
      </c>
      <c r="G152" s="28" t="s">
        <v>408</v>
      </c>
    </row>
    <row r="153" spans="1:7" ht="12.75">
      <c r="A153" s="28" t="s">
        <v>2210</v>
      </c>
      <c r="C153" s="113" t="s">
        <v>329</v>
      </c>
      <c r="D153" s="1" t="s">
        <v>386</v>
      </c>
      <c r="E153" s="1" t="s">
        <v>389</v>
      </c>
      <c r="F153" s="1" t="s">
        <v>238</v>
      </c>
      <c r="G153" s="28" t="s">
        <v>409</v>
      </c>
    </row>
  </sheetData>
  <sheetProtection/>
  <mergeCells count="29">
    <mergeCell ref="C121:N121"/>
    <mergeCell ref="C40:N40"/>
    <mergeCell ref="C46:N46"/>
    <mergeCell ref="C54:N54"/>
    <mergeCell ref="C76:N76"/>
    <mergeCell ref="C101:N101"/>
    <mergeCell ref="C116:N116"/>
    <mergeCell ref="C17:N17"/>
    <mergeCell ref="C20:N20"/>
    <mergeCell ref="C23:N23"/>
    <mergeCell ref="C26:N26"/>
    <mergeCell ref="C29:N29"/>
    <mergeCell ref="C35:N35"/>
    <mergeCell ref="C5:N5"/>
    <mergeCell ref="C8:N8"/>
    <mergeCell ref="C13:N13"/>
    <mergeCell ref="F3:F4"/>
    <mergeCell ref="M3:M4"/>
    <mergeCell ref="N3:N4"/>
    <mergeCell ref="C1:O2"/>
    <mergeCell ref="I3:L3"/>
    <mergeCell ref="C3:C4"/>
    <mergeCell ref="D3:D4"/>
    <mergeCell ref="E3:E4"/>
    <mergeCell ref="A3:A4"/>
    <mergeCell ref="O3:O4"/>
    <mergeCell ref="H3:H4"/>
    <mergeCell ref="G3:G4"/>
    <mergeCell ref="B3:B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2">
      <selection activeCell="C22" sqref="C22"/>
    </sheetView>
  </sheetViews>
  <sheetFormatPr defaultColWidth="8.75390625" defaultRowHeight="12.75"/>
  <cols>
    <col min="1" max="1" width="7.00390625" style="0" customWidth="1"/>
    <col min="2" max="2" width="11.75390625" style="409" customWidth="1"/>
    <col min="3" max="4" width="26.00390625" style="15" bestFit="1" customWidth="1"/>
    <col min="5" max="5" width="8.75390625" style="15" customWidth="1"/>
    <col min="6" max="6" width="6.625" style="15" bestFit="1" customWidth="1"/>
    <col min="7" max="7" width="22.75390625" style="15" bestFit="1" customWidth="1"/>
    <col min="8" max="8" width="33.625" style="15" bestFit="1" customWidth="1"/>
    <col min="9" max="9" width="5.375" style="15" customWidth="1"/>
    <col min="10" max="11" width="5.625" style="15" bestFit="1" customWidth="1"/>
    <col min="12" max="12" width="4.625" style="15" bestFit="1" customWidth="1"/>
    <col min="13" max="13" width="13.125" style="15" customWidth="1"/>
    <col min="14" max="14" width="9.125" style="15" customWidth="1"/>
    <col min="15" max="15" width="18.25390625" style="15" customWidth="1"/>
  </cols>
  <sheetData>
    <row r="1" spans="2:15" s="1" customFormat="1" ht="15" customHeight="1">
      <c r="B1" s="447"/>
      <c r="C1" s="552" t="s">
        <v>2111</v>
      </c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</row>
    <row r="2" spans="2:15" s="1" customFormat="1" ht="105" customHeight="1" thickBot="1">
      <c r="B2" s="447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</row>
    <row r="3" spans="1:15" s="2" customFormat="1" ht="21" customHeight="1">
      <c r="A3" s="546" t="s">
        <v>1627</v>
      </c>
      <c r="B3" s="516" t="s">
        <v>4516</v>
      </c>
      <c r="C3" s="542" t="s">
        <v>0</v>
      </c>
      <c r="D3" s="548" t="s">
        <v>1628</v>
      </c>
      <c r="E3" s="548" t="s">
        <v>1629</v>
      </c>
      <c r="F3" s="542" t="s">
        <v>9</v>
      </c>
      <c r="G3" s="542" t="s">
        <v>7</v>
      </c>
      <c r="H3" s="514" t="s">
        <v>3275</v>
      </c>
      <c r="I3" s="542" t="s">
        <v>1</v>
      </c>
      <c r="J3" s="542"/>
      <c r="K3" s="542"/>
      <c r="L3" s="542"/>
      <c r="M3" s="550" t="s">
        <v>1672</v>
      </c>
      <c r="N3" s="542" t="s">
        <v>6</v>
      </c>
      <c r="O3" s="544" t="s">
        <v>5</v>
      </c>
    </row>
    <row r="4" spans="1:15" s="2" customFormat="1" ht="21" customHeight="1" thickBot="1">
      <c r="A4" s="547"/>
      <c r="B4" s="517"/>
      <c r="C4" s="543"/>
      <c r="D4" s="543"/>
      <c r="E4" s="549"/>
      <c r="F4" s="543"/>
      <c r="G4" s="543"/>
      <c r="H4" s="515"/>
      <c r="I4" s="3">
        <v>1</v>
      </c>
      <c r="J4" s="3">
        <v>2</v>
      </c>
      <c r="K4" s="3">
        <v>3</v>
      </c>
      <c r="L4" s="3" t="s">
        <v>8</v>
      </c>
      <c r="M4" s="551"/>
      <c r="N4" s="543"/>
      <c r="O4" s="545"/>
    </row>
    <row r="5" spans="3:14" ht="15.75">
      <c r="C5" s="526" t="s">
        <v>116</v>
      </c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</row>
    <row r="6" spans="1:15" ht="12.75">
      <c r="A6" s="29">
        <v>1</v>
      </c>
      <c r="B6" s="410"/>
      <c r="C6" s="20" t="s">
        <v>4411</v>
      </c>
      <c r="D6" s="20" t="s">
        <v>422</v>
      </c>
      <c r="E6" s="20" t="s">
        <v>1688</v>
      </c>
      <c r="F6" s="20" t="str">
        <f>"0,6806"</f>
        <v>0,6806</v>
      </c>
      <c r="G6" s="20" t="s">
        <v>31</v>
      </c>
      <c r="H6" s="20" t="s">
        <v>1642</v>
      </c>
      <c r="I6" s="134" t="s">
        <v>845</v>
      </c>
      <c r="J6" s="134" t="s">
        <v>847</v>
      </c>
      <c r="K6" s="134" t="s">
        <v>990</v>
      </c>
      <c r="L6" s="31"/>
      <c r="M6" s="33" t="s">
        <v>990</v>
      </c>
      <c r="N6" s="33" t="s">
        <v>2136</v>
      </c>
      <c r="O6" s="20" t="s">
        <v>1686</v>
      </c>
    </row>
    <row r="7" spans="1:2" ht="12.75">
      <c r="A7" s="29"/>
      <c r="B7" s="410"/>
    </row>
    <row r="8" spans="1:14" ht="15.75">
      <c r="A8" s="29"/>
      <c r="B8" s="410"/>
      <c r="C8" s="541" t="s">
        <v>227</v>
      </c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</row>
    <row r="9" spans="1:15" ht="12.75">
      <c r="A9" s="29">
        <v>1</v>
      </c>
      <c r="B9" s="410">
        <v>12</v>
      </c>
      <c r="C9" s="20" t="s">
        <v>4412</v>
      </c>
      <c r="D9" s="20" t="s">
        <v>546</v>
      </c>
      <c r="E9" s="20" t="s">
        <v>1689</v>
      </c>
      <c r="F9" s="20" t="str">
        <f>"0,5946"</f>
        <v>0,5946</v>
      </c>
      <c r="G9" s="20" t="s">
        <v>161</v>
      </c>
      <c r="H9" s="20" t="s">
        <v>162</v>
      </c>
      <c r="I9" s="134" t="s">
        <v>319</v>
      </c>
      <c r="J9" s="45" t="s">
        <v>845</v>
      </c>
      <c r="K9" s="45" t="s">
        <v>931</v>
      </c>
      <c r="L9" s="31"/>
      <c r="M9" s="33" t="s">
        <v>319</v>
      </c>
      <c r="N9" s="33" t="s">
        <v>2137</v>
      </c>
      <c r="O9" s="20" t="s">
        <v>1667</v>
      </c>
    </row>
    <row r="10" spans="1:2" ht="12.75">
      <c r="A10" s="29"/>
      <c r="B10" s="410"/>
    </row>
    <row r="11" spans="1:14" ht="15.75">
      <c r="A11" s="29"/>
      <c r="B11" s="410"/>
      <c r="C11" s="541" t="s">
        <v>304</v>
      </c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</row>
    <row r="12" spans="1:15" ht="12.75">
      <c r="A12" s="29">
        <v>1</v>
      </c>
      <c r="B12" s="410"/>
      <c r="C12" s="20" t="s">
        <v>4413</v>
      </c>
      <c r="D12" s="20" t="s">
        <v>235</v>
      </c>
      <c r="E12" s="20" t="s">
        <v>1690</v>
      </c>
      <c r="F12" s="20" t="str">
        <f>"0,5726"</f>
        <v>0,5726</v>
      </c>
      <c r="G12" s="20" t="s">
        <v>31</v>
      </c>
      <c r="H12" s="20" t="s">
        <v>201</v>
      </c>
      <c r="I12" s="134" t="s">
        <v>860</v>
      </c>
      <c r="J12" s="45" t="s">
        <v>869</v>
      </c>
      <c r="K12" s="45" t="s">
        <v>869</v>
      </c>
      <c r="L12" s="31"/>
      <c r="M12" s="33" t="s">
        <v>860</v>
      </c>
      <c r="N12" s="33" t="s">
        <v>2138</v>
      </c>
      <c r="O12" s="20" t="s">
        <v>1687</v>
      </c>
    </row>
  </sheetData>
  <sheetProtection/>
  <mergeCells count="16">
    <mergeCell ref="O3:O4"/>
    <mergeCell ref="C5:N5"/>
    <mergeCell ref="C8:N8"/>
    <mergeCell ref="C11:N11"/>
    <mergeCell ref="A3:A4"/>
    <mergeCell ref="B3:B4"/>
    <mergeCell ref="C1:O2"/>
    <mergeCell ref="C3:C4"/>
    <mergeCell ref="D3:D4"/>
    <mergeCell ref="E3:E4"/>
    <mergeCell ref="F3:F4"/>
    <mergeCell ref="G3:G4"/>
    <mergeCell ref="H3:H4"/>
    <mergeCell ref="I3:L3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D16" sqref="D16"/>
    </sheetView>
  </sheetViews>
  <sheetFormatPr defaultColWidth="8.75390625" defaultRowHeight="12.75"/>
  <cols>
    <col min="1" max="1" width="8.75390625" style="0" customWidth="1"/>
    <col min="2" max="2" width="11.75390625" style="409" customWidth="1"/>
    <col min="3" max="3" width="22.625" style="15" customWidth="1"/>
    <col min="4" max="4" width="25.625" style="15" customWidth="1"/>
    <col min="5" max="5" width="10.625" style="15" bestFit="1" customWidth="1"/>
    <col min="6" max="6" width="8.375" style="15" bestFit="1" customWidth="1"/>
    <col min="7" max="7" width="22.75390625" style="15" bestFit="1" customWidth="1"/>
    <col min="8" max="8" width="33.625" style="15" bestFit="1" customWidth="1"/>
    <col min="9" max="9" width="5.375" style="15" customWidth="1"/>
    <col min="10" max="11" width="5.625" style="15" bestFit="1" customWidth="1"/>
    <col min="12" max="12" width="4.625" style="15" bestFit="1" customWidth="1"/>
    <col min="13" max="13" width="11.875" style="15" customWidth="1"/>
    <col min="14" max="14" width="8.625" style="15" bestFit="1" customWidth="1"/>
    <col min="15" max="15" width="11.375" style="15" bestFit="1" customWidth="1"/>
  </cols>
  <sheetData>
    <row r="1" spans="2:15" s="1" customFormat="1" ht="15" customHeight="1">
      <c r="B1" s="447"/>
      <c r="C1" s="552" t="s">
        <v>2112</v>
      </c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</row>
    <row r="2" spans="2:15" s="1" customFormat="1" ht="108" customHeight="1" thickBot="1">
      <c r="B2" s="447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</row>
    <row r="3" spans="1:15" s="2" customFormat="1" ht="21" customHeight="1">
      <c r="A3" s="546" t="s">
        <v>1627</v>
      </c>
      <c r="B3" s="516" t="s">
        <v>4516</v>
      </c>
      <c r="C3" s="542" t="s">
        <v>0</v>
      </c>
      <c r="D3" s="548" t="s">
        <v>1628</v>
      </c>
      <c r="E3" s="548" t="s">
        <v>1629</v>
      </c>
      <c r="F3" s="542" t="s">
        <v>9</v>
      </c>
      <c r="G3" s="542" t="s">
        <v>7</v>
      </c>
      <c r="H3" s="514" t="s">
        <v>3275</v>
      </c>
      <c r="I3" s="542" t="s">
        <v>1</v>
      </c>
      <c r="J3" s="542"/>
      <c r="K3" s="542"/>
      <c r="L3" s="542"/>
      <c r="M3" s="550" t="s">
        <v>1672</v>
      </c>
      <c r="N3" s="542" t="s">
        <v>6</v>
      </c>
      <c r="O3" s="544" t="s">
        <v>5</v>
      </c>
    </row>
    <row r="4" spans="1:15" s="2" customFormat="1" ht="21" customHeight="1" thickBot="1">
      <c r="A4" s="547"/>
      <c r="B4" s="517"/>
      <c r="C4" s="543"/>
      <c r="D4" s="543"/>
      <c r="E4" s="549"/>
      <c r="F4" s="543"/>
      <c r="G4" s="543"/>
      <c r="H4" s="515"/>
      <c r="I4" s="3">
        <v>1</v>
      </c>
      <c r="J4" s="3">
        <v>2</v>
      </c>
      <c r="K4" s="3">
        <v>3</v>
      </c>
      <c r="L4" s="3" t="s">
        <v>8</v>
      </c>
      <c r="M4" s="551"/>
      <c r="N4" s="543"/>
      <c r="O4" s="545"/>
    </row>
    <row r="5" spans="3:14" ht="15.75">
      <c r="C5" s="526" t="s">
        <v>304</v>
      </c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</row>
    <row r="6" spans="1:15" ht="12.75">
      <c r="A6" s="29">
        <v>1</v>
      </c>
      <c r="B6" s="410">
        <v>12</v>
      </c>
      <c r="C6" s="20" t="s">
        <v>4414</v>
      </c>
      <c r="D6" s="20" t="s">
        <v>1596</v>
      </c>
      <c r="E6" s="20" t="s">
        <v>544</v>
      </c>
      <c r="F6" s="20" t="str">
        <f>"0,5846"</f>
        <v>0,5846</v>
      </c>
      <c r="G6" s="20" t="s">
        <v>161</v>
      </c>
      <c r="H6" s="20" t="s">
        <v>162</v>
      </c>
      <c r="I6" s="134" t="s">
        <v>913</v>
      </c>
      <c r="J6" s="45" t="s">
        <v>1597</v>
      </c>
      <c r="K6" s="45" t="s">
        <v>1045</v>
      </c>
      <c r="L6" s="31"/>
      <c r="M6" s="33" t="s">
        <v>913</v>
      </c>
      <c r="N6" s="33" t="str">
        <f>"163,6880"</f>
        <v>163,6880</v>
      </c>
      <c r="O6" s="20" t="s">
        <v>1691</v>
      </c>
    </row>
    <row r="7" ht="12.75">
      <c r="B7" s="410"/>
    </row>
    <row r="8" ht="12.75">
      <c r="B8" s="410"/>
    </row>
    <row r="9" ht="12.75">
      <c r="B9" s="410"/>
    </row>
  </sheetData>
  <sheetProtection/>
  <mergeCells count="14">
    <mergeCell ref="C1:O2"/>
    <mergeCell ref="C3:C4"/>
    <mergeCell ref="D3:D4"/>
    <mergeCell ref="E3:E4"/>
    <mergeCell ref="F3:F4"/>
    <mergeCell ref="G3:G4"/>
    <mergeCell ref="H3:H4"/>
    <mergeCell ref="I3:L3"/>
    <mergeCell ref="A3:A4"/>
    <mergeCell ref="M3:M4"/>
    <mergeCell ref="N3:N4"/>
    <mergeCell ref="B3:B4"/>
    <mergeCell ref="O3:O4"/>
    <mergeCell ref="C5:N5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C42" sqref="C42"/>
    </sheetView>
  </sheetViews>
  <sheetFormatPr defaultColWidth="8.75390625" defaultRowHeight="12.75"/>
  <cols>
    <col min="1" max="1" width="7.25390625" style="29" customWidth="1"/>
    <col min="2" max="2" width="11.625" style="410" customWidth="1"/>
    <col min="3" max="3" width="22.375" style="15" customWidth="1"/>
    <col min="4" max="4" width="27.125" style="15" bestFit="1" customWidth="1"/>
    <col min="5" max="5" width="10.625" style="15" bestFit="1" customWidth="1"/>
    <col min="6" max="6" width="8.375" style="15" bestFit="1" customWidth="1"/>
    <col min="7" max="7" width="22.75390625" style="15" bestFit="1" customWidth="1"/>
    <col min="8" max="8" width="36.75390625" style="15" customWidth="1"/>
    <col min="9" max="9" width="5.25390625" style="15" customWidth="1"/>
    <col min="10" max="11" width="5.625" style="15" bestFit="1" customWidth="1"/>
    <col min="12" max="12" width="4.625" style="15" bestFit="1" customWidth="1"/>
    <col min="13" max="13" width="11.625" style="30" customWidth="1"/>
    <col min="14" max="14" width="8.625" style="15" bestFit="1" customWidth="1"/>
    <col min="15" max="15" width="15.75390625" style="15" bestFit="1" customWidth="1"/>
  </cols>
  <sheetData>
    <row r="1" spans="1:15" s="1" customFormat="1" ht="15" customHeight="1">
      <c r="A1" s="28"/>
      <c r="B1" s="443"/>
      <c r="C1" s="552" t="s">
        <v>2098</v>
      </c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</row>
    <row r="2" spans="1:15" s="1" customFormat="1" ht="102.75" customHeight="1" thickBot="1">
      <c r="A2" s="28"/>
      <c r="B2" s="44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</row>
    <row r="3" spans="1:15" s="2" customFormat="1" ht="12.75" customHeight="1">
      <c r="A3" s="546" t="s">
        <v>1627</v>
      </c>
      <c r="B3" s="516" t="s">
        <v>4516</v>
      </c>
      <c r="C3" s="542" t="s">
        <v>0</v>
      </c>
      <c r="D3" s="548" t="s">
        <v>1628</v>
      </c>
      <c r="E3" s="548" t="s">
        <v>1629</v>
      </c>
      <c r="F3" s="542" t="s">
        <v>9</v>
      </c>
      <c r="G3" s="542" t="s">
        <v>7</v>
      </c>
      <c r="H3" s="514" t="s">
        <v>3275</v>
      </c>
      <c r="I3" s="542" t="s">
        <v>1</v>
      </c>
      <c r="J3" s="542"/>
      <c r="K3" s="542"/>
      <c r="L3" s="542"/>
      <c r="M3" s="550" t="s">
        <v>1672</v>
      </c>
      <c r="N3" s="542" t="s">
        <v>6</v>
      </c>
      <c r="O3" s="544" t="s">
        <v>5</v>
      </c>
    </row>
    <row r="4" spans="1:15" s="2" customFormat="1" ht="21" customHeight="1" thickBot="1">
      <c r="A4" s="547"/>
      <c r="B4" s="517"/>
      <c r="C4" s="543"/>
      <c r="D4" s="543"/>
      <c r="E4" s="549"/>
      <c r="F4" s="543"/>
      <c r="G4" s="543"/>
      <c r="H4" s="515"/>
      <c r="I4" s="3">
        <v>1</v>
      </c>
      <c r="J4" s="3">
        <v>2</v>
      </c>
      <c r="K4" s="3">
        <v>3</v>
      </c>
      <c r="L4" s="3" t="s">
        <v>8</v>
      </c>
      <c r="M4" s="551"/>
      <c r="N4" s="543"/>
      <c r="O4" s="545"/>
    </row>
    <row r="5" spans="3:14" ht="15.75">
      <c r="C5" s="526" t="s">
        <v>66</v>
      </c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</row>
    <row r="6" spans="3:15" ht="12.75">
      <c r="C6" s="20" t="s">
        <v>425</v>
      </c>
      <c r="D6" s="20" t="s">
        <v>426</v>
      </c>
      <c r="E6" s="20" t="s">
        <v>1630</v>
      </c>
      <c r="F6" s="20" t="str">
        <f>"1,2466"</f>
        <v>1,2466</v>
      </c>
      <c r="G6" s="20" t="s">
        <v>31</v>
      </c>
      <c r="H6" s="20" t="s">
        <v>1641</v>
      </c>
      <c r="I6" s="45" t="s">
        <v>471</v>
      </c>
      <c r="J6" s="45" t="s">
        <v>471</v>
      </c>
      <c r="K6" s="45" t="s">
        <v>471</v>
      </c>
      <c r="L6" s="31"/>
      <c r="M6" s="32">
        <v>0</v>
      </c>
      <c r="N6" s="33" t="s">
        <v>1639</v>
      </c>
      <c r="O6" s="20" t="s">
        <v>51</v>
      </c>
    </row>
    <row r="8" spans="3:14" ht="15.75">
      <c r="C8" s="541" t="s">
        <v>499</v>
      </c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</row>
    <row r="9" spans="1:15" ht="12.75">
      <c r="A9" s="29">
        <v>1</v>
      </c>
      <c r="B9" s="410">
        <v>30</v>
      </c>
      <c r="C9" s="20" t="s">
        <v>4523</v>
      </c>
      <c r="D9" s="20" t="s">
        <v>1302</v>
      </c>
      <c r="E9" s="20" t="s">
        <v>1631</v>
      </c>
      <c r="F9" s="20" t="str">
        <f>"0,8050"</f>
        <v>0,8050</v>
      </c>
      <c r="G9" s="20" t="s">
        <v>130</v>
      </c>
      <c r="H9" s="20" t="s">
        <v>1642</v>
      </c>
      <c r="I9" s="134" t="s">
        <v>127</v>
      </c>
      <c r="J9" s="134" t="s">
        <v>175</v>
      </c>
      <c r="K9" s="45" t="s">
        <v>108</v>
      </c>
      <c r="L9" s="31"/>
      <c r="M9" s="34">
        <v>185</v>
      </c>
      <c r="N9" s="33" t="str">
        <f>"148,9250"</f>
        <v>148,9250</v>
      </c>
      <c r="O9" s="20" t="s">
        <v>51</v>
      </c>
    </row>
    <row r="11" spans="3:14" ht="15.75">
      <c r="C11" s="541" t="s">
        <v>18</v>
      </c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</row>
    <row r="12" spans="1:15" ht="12.75">
      <c r="A12" s="29">
        <v>1</v>
      </c>
      <c r="C12" s="20" t="s">
        <v>4445</v>
      </c>
      <c r="D12" s="20" t="s">
        <v>1305</v>
      </c>
      <c r="E12" s="20" t="s">
        <v>1632</v>
      </c>
      <c r="F12" s="20" t="str">
        <f>"0,7852"</f>
        <v>0,7852</v>
      </c>
      <c r="G12" s="20" t="s">
        <v>31</v>
      </c>
      <c r="H12" s="20" t="s">
        <v>1642</v>
      </c>
      <c r="I12" s="45" t="s">
        <v>127</v>
      </c>
      <c r="J12" s="134" t="s">
        <v>127</v>
      </c>
      <c r="K12" s="45" t="s">
        <v>108</v>
      </c>
      <c r="L12" s="31"/>
      <c r="M12" s="34">
        <v>180</v>
      </c>
      <c r="N12" s="33" t="str">
        <f>"141,3360"</f>
        <v>141,3360</v>
      </c>
      <c r="O12" s="20" t="s">
        <v>1644</v>
      </c>
    </row>
    <row r="14" spans="3:14" ht="15.75">
      <c r="C14" s="541" t="s">
        <v>116</v>
      </c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</row>
    <row r="15" spans="1:15" ht="12.75">
      <c r="A15" s="29">
        <v>1</v>
      </c>
      <c r="C15" s="17" t="s">
        <v>4448</v>
      </c>
      <c r="D15" s="17" t="s">
        <v>1311</v>
      </c>
      <c r="E15" s="17" t="s">
        <v>1633</v>
      </c>
      <c r="F15" s="17" t="str">
        <f>"0,6927"</f>
        <v>0,6927</v>
      </c>
      <c r="G15" s="17" t="s">
        <v>31</v>
      </c>
      <c r="H15" s="17" t="s">
        <v>1312</v>
      </c>
      <c r="I15" s="138" t="s">
        <v>317</v>
      </c>
      <c r="J15" s="46" t="s">
        <v>319</v>
      </c>
      <c r="K15" s="46" t="s">
        <v>319</v>
      </c>
      <c r="L15" s="36"/>
      <c r="M15" s="44">
        <v>240</v>
      </c>
      <c r="N15" s="35" t="s">
        <v>2100</v>
      </c>
      <c r="O15" s="17" t="s">
        <v>1313</v>
      </c>
    </row>
    <row r="16" spans="1:15" ht="12.75">
      <c r="A16" s="29">
        <v>1</v>
      </c>
      <c r="C16" s="18" t="s">
        <v>4415</v>
      </c>
      <c r="D16" s="18" t="s">
        <v>1110</v>
      </c>
      <c r="E16" s="18" t="s">
        <v>1634</v>
      </c>
      <c r="F16" s="18" t="str">
        <f>"0,6785"</f>
        <v>0,6785</v>
      </c>
      <c r="G16" s="18" t="s">
        <v>31</v>
      </c>
      <c r="H16" s="18" t="s">
        <v>135</v>
      </c>
      <c r="I16" s="140" t="s">
        <v>237</v>
      </c>
      <c r="J16" s="140" t="s">
        <v>246</v>
      </c>
      <c r="K16" s="47" t="s">
        <v>991</v>
      </c>
      <c r="L16" s="39"/>
      <c r="M16" s="40">
        <v>232.5</v>
      </c>
      <c r="N16" s="38" t="str">
        <f>"157,7512"</f>
        <v>157,7512</v>
      </c>
      <c r="O16" s="18" t="s">
        <v>51</v>
      </c>
    </row>
    <row r="17" spans="1:15" ht="12.75">
      <c r="A17" s="29">
        <v>2</v>
      </c>
      <c r="B17" s="410">
        <v>21</v>
      </c>
      <c r="C17" s="18" t="s">
        <v>4449</v>
      </c>
      <c r="D17" s="18" t="s">
        <v>956</v>
      </c>
      <c r="E17" s="18" t="s">
        <v>1635</v>
      </c>
      <c r="F17" s="18" t="str">
        <f>"0,6709"</f>
        <v>0,6709</v>
      </c>
      <c r="G17" s="18" t="s">
        <v>2115</v>
      </c>
      <c r="H17" s="18" t="s">
        <v>958</v>
      </c>
      <c r="I17" s="140" t="s">
        <v>2099</v>
      </c>
      <c r="J17" s="47" t="s">
        <v>1314</v>
      </c>
      <c r="K17" s="47" t="s">
        <v>1314</v>
      </c>
      <c r="L17" s="39"/>
      <c r="M17" s="40">
        <v>230</v>
      </c>
      <c r="N17" s="38" t="str">
        <f>"154,3070"</f>
        <v>154,3070</v>
      </c>
      <c r="O17" s="18" t="s">
        <v>51</v>
      </c>
    </row>
    <row r="18" spans="1:15" ht="12.75">
      <c r="A18" s="29">
        <v>3</v>
      </c>
      <c r="C18" s="19" t="s">
        <v>4524</v>
      </c>
      <c r="D18" s="19" t="s">
        <v>1621</v>
      </c>
      <c r="E18" s="19" t="s">
        <v>1636</v>
      </c>
      <c r="F18" s="19" t="str">
        <f>"0,6993"</f>
        <v>0,6993</v>
      </c>
      <c r="G18" s="19" t="s">
        <v>31</v>
      </c>
      <c r="H18" s="19" t="s">
        <v>1407</v>
      </c>
      <c r="I18" s="139" t="s">
        <v>190</v>
      </c>
      <c r="J18" s="139" t="s">
        <v>237</v>
      </c>
      <c r="K18" s="48" t="s">
        <v>238</v>
      </c>
      <c r="L18" s="42"/>
      <c r="M18" s="43">
        <v>220</v>
      </c>
      <c r="N18" s="41" t="str">
        <f>"153,8460"</f>
        <v>153,8460</v>
      </c>
      <c r="O18" s="19" t="s">
        <v>51</v>
      </c>
    </row>
    <row r="20" spans="3:14" ht="15.75">
      <c r="C20" s="541" t="s">
        <v>164</v>
      </c>
      <c r="D20" s="541"/>
      <c r="E20" s="541"/>
      <c r="F20" s="541"/>
      <c r="G20" s="541"/>
      <c r="H20" s="541"/>
      <c r="I20" s="541"/>
      <c r="J20" s="541"/>
      <c r="K20" s="541"/>
      <c r="L20" s="541"/>
      <c r="M20" s="541"/>
      <c r="N20" s="541"/>
    </row>
    <row r="21" spans="1:15" ht="12.75">
      <c r="A21" s="29">
        <v>1</v>
      </c>
      <c r="C21" s="17" t="s">
        <v>4525</v>
      </c>
      <c r="D21" s="17" t="s">
        <v>1623</v>
      </c>
      <c r="E21" s="17" t="s">
        <v>1637</v>
      </c>
      <c r="F21" s="17" t="str">
        <f>"0,6180"</f>
        <v>0,6180</v>
      </c>
      <c r="G21" s="17" t="s">
        <v>31</v>
      </c>
      <c r="H21" s="17" t="s">
        <v>1643</v>
      </c>
      <c r="I21" s="138" t="s">
        <v>884</v>
      </c>
      <c r="J21" s="138" t="s">
        <v>992</v>
      </c>
      <c r="K21" s="138" t="s">
        <v>846</v>
      </c>
      <c r="L21" s="36"/>
      <c r="M21" s="44">
        <v>275</v>
      </c>
      <c r="N21" s="35" t="str">
        <f>"169,9500"</f>
        <v>169,9500</v>
      </c>
      <c r="O21" s="17" t="s">
        <v>1640</v>
      </c>
    </row>
    <row r="22" spans="1:15" ht="12.75">
      <c r="A22" s="29">
        <v>2</v>
      </c>
      <c r="C22" s="19" t="s">
        <v>4195</v>
      </c>
      <c r="D22" s="19" t="s">
        <v>1496</v>
      </c>
      <c r="E22" s="19" t="s">
        <v>1638</v>
      </c>
      <c r="F22" s="19" t="str">
        <f>"0,6116"</f>
        <v>0,6116</v>
      </c>
      <c r="G22" s="19" t="s">
        <v>31</v>
      </c>
      <c r="H22" s="19" t="s">
        <v>2249</v>
      </c>
      <c r="I22" s="48" t="s">
        <v>190</v>
      </c>
      <c r="J22" s="139" t="s">
        <v>191</v>
      </c>
      <c r="K22" s="48" t="s">
        <v>237</v>
      </c>
      <c r="L22" s="42"/>
      <c r="M22" s="43">
        <v>210</v>
      </c>
      <c r="N22" s="41" t="str">
        <f>"128,4360"</f>
        <v>128,4360</v>
      </c>
      <c r="O22" s="19" t="s">
        <v>51</v>
      </c>
    </row>
    <row r="24" spans="3:4" ht="18">
      <c r="C24" s="16" t="s">
        <v>370</v>
      </c>
      <c r="D24" s="16"/>
    </row>
    <row r="25" spans="3:4" ht="15.75">
      <c r="C25" s="22" t="s">
        <v>387</v>
      </c>
      <c r="D25" s="22"/>
    </row>
    <row r="26" spans="3:4" ht="13.5">
      <c r="C26" s="24"/>
      <c r="D26" s="25"/>
    </row>
    <row r="27" spans="3:7" ht="13.5">
      <c r="C27" s="26" t="s">
        <v>373</v>
      </c>
      <c r="D27" s="26" t="s">
        <v>374</v>
      </c>
      <c r="E27" s="26" t="s">
        <v>375</v>
      </c>
      <c r="F27" s="26" t="s">
        <v>376</v>
      </c>
      <c r="G27" s="26" t="s">
        <v>377</v>
      </c>
    </row>
    <row r="28" spans="1:7" ht="12.75">
      <c r="A28" s="29">
        <v>1</v>
      </c>
      <c r="C28" s="91" t="s">
        <v>1622</v>
      </c>
      <c r="D28" s="49" t="s">
        <v>372</v>
      </c>
      <c r="E28" s="50" t="s">
        <v>1645</v>
      </c>
      <c r="F28" s="50" t="s">
        <v>846</v>
      </c>
      <c r="G28" s="50" t="s">
        <v>1624</v>
      </c>
    </row>
    <row r="29" spans="1:7" ht="12.75">
      <c r="A29" s="29">
        <v>2</v>
      </c>
      <c r="C29" s="91" t="s">
        <v>1109</v>
      </c>
      <c r="D29" s="49" t="s">
        <v>372</v>
      </c>
      <c r="E29" s="50" t="s">
        <v>1646</v>
      </c>
      <c r="F29" s="50" t="s">
        <v>246</v>
      </c>
      <c r="G29" s="50" t="s">
        <v>1625</v>
      </c>
    </row>
    <row r="30" spans="1:7" ht="12.75">
      <c r="A30" s="29">
        <v>3</v>
      </c>
      <c r="C30" s="91" t="s">
        <v>955</v>
      </c>
      <c r="D30" s="49" t="s">
        <v>372</v>
      </c>
      <c r="E30" s="50" t="s">
        <v>1646</v>
      </c>
      <c r="F30" s="50" t="s">
        <v>238</v>
      </c>
      <c r="G30" s="50" t="s">
        <v>1626</v>
      </c>
    </row>
  </sheetData>
  <sheetProtection/>
  <mergeCells count="18">
    <mergeCell ref="C14:N14"/>
    <mergeCell ref="C20:N20"/>
    <mergeCell ref="M3:M4"/>
    <mergeCell ref="N3:N4"/>
    <mergeCell ref="O3:O4"/>
    <mergeCell ref="C5:N5"/>
    <mergeCell ref="C8:N8"/>
    <mergeCell ref="C11:N11"/>
    <mergeCell ref="A3:A4"/>
    <mergeCell ref="C1:O2"/>
    <mergeCell ref="C3:C4"/>
    <mergeCell ref="D3:D4"/>
    <mergeCell ref="E3:E4"/>
    <mergeCell ref="F3:F4"/>
    <mergeCell ref="G3:G4"/>
    <mergeCell ref="H3:H4"/>
    <mergeCell ref="I3:L3"/>
    <mergeCell ref="B3:B4"/>
  </mergeCells>
  <printOptions/>
  <pageMargins left="0.7" right="0.7" top="0.75" bottom="0.75" header="0.3" footer="0.3"/>
  <pageSetup horizontalDpi="600" verticalDpi="6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3">
      <selection activeCell="C39" sqref="C39"/>
    </sheetView>
  </sheetViews>
  <sheetFormatPr defaultColWidth="8.75390625" defaultRowHeight="12.75"/>
  <cols>
    <col min="1" max="1" width="8.00390625" style="29" customWidth="1"/>
    <col min="2" max="2" width="11.625" style="30" customWidth="1"/>
    <col min="3" max="3" width="24.25390625" style="15" customWidth="1"/>
    <col min="4" max="4" width="27.125" style="15" bestFit="1" customWidth="1"/>
    <col min="5" max="5" width="10.625" style="15" bestFit="1" customWidth="1"/>
    <col min="6" max="6" width="8.375" style="15" bestFit="1" customWidth="1"/>
    <col min="7" max="7" width="17.625" style="15" customWidth="1"/>
    <col min="8" max="8" width="34.625" style="15" bestFit="1" customWidth="1"/>
    <col min="9" max="11" width="5.625" style="15" bestFit="1" customWidth="1"/>
    <col min="12" max="12" width="4.625" style="15" bestFit="1" customWidth="1"/>
    <col min="13" max="13" width="11.625" style="30" customWidth="1"/>
    <col min="14" max="14" width="8.625" style="15" bestFit="1" customWidth="1"/>
    <col min="15" max="15" width="22.00390625" style="15" customWidth="1"/>
  </cols>
  <sheetData>
    <row r="1" spans="1:15" s="1" customFormat="1" ht="15" customHeight="1">
      <c r="A1" s="28"/>
      <c r="B1" s="28"/>
      <c r="C1" s="552" t="s">
        <v>2101</v>
      </c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</row>
    <row r="2" spans="1:15" s="1" customFormat="1" ht="90" customHeight="1" thickBot="1">
      <c r="A2" s="28"/>
      <c r="B2" s="28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</row>
    <row r="3" spans="1:15" s="2" customFormat="1" ht="12.75" customHeight="1">
      <c r="A3" s="546" t="s">
        <v>1627</v>
      </c>
      <c r="B3" s="516" t="s">
        <v>4516</v>
      </c>
      <c r="C3" s="542" t="s">
        <v>0</v>
      </c>
      <c r="D3" s="548" t="s">
        <v>1628</v>
      </c>
      <c r="E3" s="548" t="s">
        <v>1629</v>
      </c>
      <c r="F3" s="542" t="s">
        <v>9</v>
      </c>
      <c r="G3" s="542" t="s">
        <v>7</v>
      </c>
      <c r="H3" s="514" t="s">
        <v>3275</v>
      </c>
      <c r="I3" s="542" t="s">
        <v>1</v>
      </c>
      <c r="J3" s="542"/>
      <c r="K3" s="542"/>
      <c r="L3" s="542"/>
      <c r="M3" s="550" t="s">
        <v>1672</v>
      </c>
      <c r="N3" s="542" t="s">
        <v>6</v>
      </c>
      <c r="O3" s="544" t="s">
        <v>5</v>
      </c>
    </row>
    <row r="4" spans="1:15" s="2" customFormat="1" ht="21" customHeight="1" thickBot="1">
      <c r="A4" s="547"/>
      <c r="B4" s="517"/>
      <c r="C4" s="543"/>
      <c r="D4" s="543"/>
      <c r="E4" s="549"/>
      <c r="F4" s="543"/>
      <c r="G4" s="543"/>
      <c r="H4" s="515"/>
      <c r="I4" s="3">
        <v>1</v>
      </c>
      <c r="J4" s="3">
        <v>2</v>
      </c>
      <c r="K4" s="3">
        <v>3</v>
      </c>
      <c r="L4" s="3" t="s">
        <v>8</v>
      </c>
      <c r="M4" s="551"/>
      <c r="N4" s="543"/>
      <c r="O4" s="545"/>
    </row>
    <row r="5" spans="2:14" ht="15.75">
      <c r="B5" s="29"/>
      <c r="C5" s="526" t="s">
        <v>80</v>
      </c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</row>
    <row r="6" spans="1:15" ht="12.75">
      <c r="A6" s="29">
        <v>1</v>
      </c>
      <c r="B6" s="255">
        <v>12</v>
      </c>
      <c r="C6" s="20" t="s">
        <v>1358</v>
      </c>
      <c r="D6" s="20" t="s">
        <v>1226</v>
      </c>
      <c r="E6" s="20" t="s">
        <v>1649</v>
      </c>
      <c r="F6" s="20" t="str">
        <f>"1,1221"</f>
        <v>1,1221</v>
      </c>
      <c r="G6" s="20" t="s">
        <v>14</v>
      </c>
      <c r="H6" s="20" t="s">
        <v>1642</v>
      </c>
      <c r="I6" s="134" t="s">
        <v>93</v>
      </c>
      <c r="J6" s="134" t="s">
        <v>94</v>
      </c>
      <c r="K6" s="134" t="s">
        <v>95</v>
      </c>
      <c r="L6" s="31"/>
      <c r="M6" s="34">
        <v>65</v>
      </c>
      <c r="N6" s="33" t="str">
        <f>"72,9365"</f>
        <v>72,9365</v>
      </c>
      <c r="O6" s="20" t="s">
        <v>1359</v>
      </c>
    </row>
    <row r="7" ht="12.75">
      <c r="B7" s="471"/>
    </row>
    <row r="8" spans="2:14" ht="15.75">
      <c r="B8" s="255"/>
      <c r="C8" s="541" t="s">
        <v>18</v>
      </c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</row>
    <row r="9" spans="1:15" ht="12.75">
      <c r="A9" s="29">
        <v>1</v>
      </c>
      <c r="B9" s="255">
        <v>12</v>
      </c>
      <c r="C9" s="17" t="s">
        <v>4527</v>
      </c>
      <c r="D9" s="17" t="s">
        <v>1607</v>
      </c>
      <c r="E9" s="17" t="s">
        <v>1650</v>
      </c>
      <c r="F9" s="17" t="str">
        <f>"1,0217"</f>
        <v>1,0217</v>
      </c>
      <c r="G9" s="17" t="s">
        <v>14</v>
      </c>
      <c r="H9" s="17" t="s">
        <v>1642</v>
      </c>
      <c r="I9" s="138" t="s">
        <v>57</v>
      </c>
      <c r="J9" s="46" t="s">
        <v>474</v>
      </c>
      <c r="K9" s="138" t="s">
        <v>303</v>
      </c>
      <c r="L9" s="36"/>
      <c r="M9" s="44">
        <v>100</v>
      </c>
      <c r="N9" s="35" t="str">
        <f>"102,1700"</f>
        <v>102,1700</v>
      </c>
      <c r="O9" s="17" t="s">
        <v>1664</v>
      </c>
    </row>
    <row r="10" spans="1:15" ht="12.75">
      <c r="A10" s="29">
        <v>1</v>
      </c>
      <c r="B10" s="255">
        <v>36</v>
      </c>
      <c r="C10" s="18" t="s">
        <v>4526</v>
      </c>
      <c r="D10" s="18" t="s">
        <v>1204</v>
      </c>
      <c r="E10" s="18" t="s">
        <v>55</v>
      </c>
      <c r="F10" s="18" t="str">
        <f>"1,0206"</f>
        <v>1,0206</v>
      </c>
      <c r="G10" s="18" t="s">
        <v>14</v>
      </c>
      <c r="H10" s="18" t="s">
        <v>958</v>
      </c>
      <c r="I10" s="140" t="s">
        <v>175</v>
      </c>
      <c r="J10" s="140" t="s">
        <v>190</v>
      </c>
      <c r="K10" s="47" t="s">
        <v>192</v>
      </c>
      <c r="L10" s="39"/>
      <c r="M10" s="40">
        <v>200</v>
      </c>
      <c r="N10" s="38" t="str">
        <f>"204,1200"</f>
        <v>204,1200</v>
      </c>
      <c r="O10" s="18" t="s">
        <v>1648</v>
      </c>
    </row>
    <row r="11" spans="1:15" ht="12.75">
      <c r="A11" s="29">
        <v>2</v>
      </c>
      <c r="B11" s="255">
        <v>9</v>
      </c>
      <c r="C11" s="19" t="s">
        <v>1519</v>
      </c>
      <c r="D11" s="19" t="s">
        <v>1520</v>
      </c>
      <c r="E11" s="19" t="s">
        <v>1651</v>
      </c>
      <c r="F11" s="19" t="str">
        <f>"1,0351"</f>
        <v>1,0351</v>
      </c>
      <c r="G11" s="19" t="s">
        <v>14</v>
      </c>
      <c r="H11" s="19" t="s">
        <v>1642</v>
      </c>
      <c r="I11" s="139" t="s">
        <v>95</v>
      </c>
      <c r="J11" s="139" t="s">
        <v>57</v>
      </c>
      <c r="K11" s="48" t="s">
        <v>48</v>
      </c>
      <c r="L11" s="42"/>
      <c r="M11" s="43">
        <v>75</v>
      </c>
      <c r="N11" s="41" t="str">
        <f>"77,6325"</f>
        <v>77,6325</v>
      </c>
      <c r="O11" s="19" t="s">
        <v>1664</v>
      </c>
    </row>
    <row r="12" ht="12.75">
      <c r="B12" s="471"/>
    </row>
    <row r="13" spans="2:14" ht="15.75">
      <c r="B13" s="255"/>
      <c r="C13" s="541" t="s">
        <v>42</v>
      </c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41"/>
    </row>
    <row r="14" spans="1:15" ht="12.75">
      <c r="A14" s="29">
        <v>1</v>
      </c>
      <c r="B14" s="255"/>
      <c r="C14" s="17" t="s">
        <v>4462</v>
      </c>
      <c r="D14" s="17" t="s">
        <v>1206</v>
      </c>
      <c r="E14" s="17" t="s">
        <v>1652</v>
      </c>
      <c r="F14" s="17" t="str">
        <f>"0,9571"</f>
        <v>0,9571</v>
      </c>
      <c r="G14" s="17" t="s">
        <v>31</v>
      </c>
      <c r="H14" s="17" t="s">
        <v>1643</v>
      </c>
      <c r="I14" s="138" t="s">
        <v>202</v>
      </c>
      <c r="J14" s="138" t="s">
        <v>237</v>
      </c>
      <c r="K14" s="138" t="s">
        <v>1207</v>
      </c>
      <c r="L14" s="36"/>
      <c r="M14" s="44">
        <v>227.5</v>
      </c>
      <c r="N14" s="35" t="str">
        <f>"217,7402"</f>
        <v>217,7402</v>
      </c>
      <c r="O14" s="17" t="s">
        <v>51</v>
      </c>
    </row>
    <row r="15" spans="1:15" ht="12.75">
      <c r="A15" s="29">
        <v>2</v>
      </c>
      <c r="B15" s="255">
        <v>9</v>
      </c>
      <c r="C15" s="18" t="s">
        <v>1608</v>
      </c>
      <c r="D15" s="18" t="s">
        <v>1609</v>
      </c>
      <c r="E15" s="18" t="s">
        <v>1653</v>
      </c>
      <c r="F15" s="18" t="str">
        <f>"0,9968"</f>
        <v>0,9968</v>
      </c>
      <c r="G15" s="18" t="s">
        <v>14</v>
      </c>
      <c r="H15" s="18" t="s">
        <v>1643</v>
      </c>
      <c r="I15" s="47" t="s">
        <v>95</v>
      </c>
      <c r="J15" s="140" t="s">
        <v>95</v>
      </c>
      <c r="K15" s="140" t="s">
        <v>57</v>
      </c>
      <c r="L15" s="39"/>
      <c r="M15" s="40">
        <v>75</v>
      </c>
      <c r="N15" s="38" t="str">
        <f>"74,7600"</f>
        <v>74,7600</v>
      </c>
      <c r="O15" s="18" t="s">
        <v>1665</v>
      </c>
    </row>
    <row r="16" spans="2:15" ht="12.75">
      <c r="B16" s="255"/>
      <c r="C16" s="19" t="s">
        <v>1549</v>
      </c>
      <c r="D16" s="19" t="s">
        <v>1550</v>
      </c>
      <c r="E16" s="19" t="s">
        <v>1654</v>
      </c>
      <c r="F16" s="19" t="str">
        <f>"0,9638"</f>
        <v>0,9638</v>
      </c>
      <c r="G16" s="19" t="s">
        <v>130</v>
      </c>
      <c r="H16" s="19" t="s">
        <v>1551</v>
      </c>
      <c r="I16" s="48" t="s">
        <v>127</v>
      </c>
      <c r="J16" s="48" t="s">
        <v>127</v>
      </c>
      <c r="K16" s="48" t="s">
        <v>108</v>
      </c>
      <c r="L16" s="42"/>
      <c r="M16" s="51">
        <v>0</v>
      </c>
      <c r="N16" s="41" t="s">
        <v>1639</v>
      </c>
      <c r="O16" s="19" t="s">
        <v>1666</v>
      </c>
    </row>
    <row r="17" ht="12.75">
      <c r="B17" s="471"/>
    </row>
    <row r="18" spans="2:14" ht="15.75">
      <c r="B18" s="255"/>
      <c r="C18" s="541" t="s">
        <v>18</v>
      </c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</row>
    <row r="19" spans="1:15" ht="12.75">
      <c r="A19" s="29">
        <v>1</v>
      </c>
      <c r="B19" s="255">
        <v>24</v>
      </c>
      <c r="C19" s="17" t="s">
        <v>4464</v>
      </c>
      <c r="D19" s="17" t="s">
        <v>1211</v>
      </c>
      <c r="E19" s="17" t="s">
        <v>1655</v>
      </c>
      <c r="F19" s="17" t="str">
        <f>"0,7813"</f>
        <v>0,7813</v>
      </c>
      <c r="G19" s="19" t="s">
        <v>2104</v>
      </c>
      <c r="H19" s="83" t="s">
        <v>1642</v>
      </c>
      <c r="I19" s="46" t="s">
        <v>190</v>
      </c>
      <c r="J19" s="141" t="s">
        <v>121</v>
      </c>
      <c r="K19" s="138" t="s">
        <v>252</v>
      </c>
      <c r="L19" s="36"/>
      <c r="M19" s="44">
        <v>217.5</v>
      </c>
      <c r="N19" s="35" t="str">
        <f>"169,9328"</f>
        <v>169,9328</v>
      </c>
      <c r="O19" s="17" t="s">
        <v>1674</v>
      </c>
    </row>
    <row r="20" spans="1:15" ht="12.75">
      <c r="A20" s="29">
        <v>2</v>
      </c>
      <c r="B20" s="255">
        <v>9</v>
      </c>
      <c r="C20" s="19" t="s">
        <v>1610</v>
      </c>
      <c r="D20" s="19" t="s">
        <v>1611</v>
      </c>
      <c r="E20" s="19" t="s">
        <v>1656</v>
      </c>
      <c r="F20" s="19" t="str">
        <f>"0,7785"</f>
        <v>0,7785</v>
      </c>
      <c r="G20" s="19" t="s">
        <v>14</v>
      </c>
      <c r="H20" s="19" t="s">
        <v>1642</v>
      </c>
      <c r="I20" s="48" t="s">
        <v>303</v>
      </c>
      <c r="J20" s="139" t="s">
        <v>303</v>
      </c>
      <c r="K20" s="139" t="s">
        <v>446</v>
      </c>
      <c r="L20" s="42"/>
      <c r="M20" s="43">
        <v>115</v>
      </c>
      <c r="N20" s="41" t="str">
        <f>"89,5275"</f>
        <v>89,5275</v>
      </c>
      <c r="O20" s="19" t="s">
        <v>1665</v>
      </c>
    </row>
    <row r="21" ht="12.75">
      <c r="B21" s="471"/>
    </row>
    <row r="22" spans="2:14" ht="15.75">
      <c r="B22" s="255"/>
      <c r="C22" s="541" t="s">
        <v>42</v>
      </c>
      <c r="D22" s="541"/>
      <c r="E22" s="541"/>
      <c r="F22" s="541"/>
      <c r="G22" s="541"/>
      <c r="H22" s="541"/>
      <c r="I22" s="541"/>
      <c r="J22" s="541"/>
      <c r="K22" s="541"/>
      <c r="L22" s="541"/>
      <c r="M22" s="541"/>
      <c r="N22" s="541"/>
    </row>
    <row r="23" spans="1:15" ht="12.75">
      <c r="A23" s="29">
        <v>1</v>
      </c>
      <c r="B23" s="255">
        <v>12</v>
      </c>
      <c r="C23" s="20" t="s">
        <v>4528</v>
      </c>
      <c r="D23" s="20" t="s">
        <v>1612</v>
      </c>
      <c r="E23" s="20" t="s">
        <v>1657</v>
      </c>
      <c r="F23" s="20" t="str">
        <f>"0,7461"</f>
        <v>0,7461</v>
      </c>
      <c r="G23" s="20" t="s">
        <v>161</v>
      </c>
      <c r="H23" s="20" t="s">
        <v>162</v>
      </c>
      <c r="I23" s="134" t="s">
        <v>132</v>
      </c>
      <c r="J23" s="45" t="s">
        <v>77</v>
      </c>
      <c r="K23" s="134" t="s">
        <v>183</v>
      </c>
      <c r="L23" s="31"/>
      <c r="M23" s="34">
        <v>165</v>
      </c>
      <c r="N23" s="33" t="str">
        <f>"123,1065"</f>
        <v>123,1065</v>
      </c>
      <c r="O23" s="20" t="s">
        <v>1667</v>
      </c>
    </row>
    <row r="24" ht="12.75">
      <c r="B24" s="471"/>
    </row>
    <row r="25" spans="2:14" ht="15.75">
      <c r="B25" s="255"/>
      <c r="C25" s="541" t="s">
        <v>116</v>
      </c>
      <c r="D25" s="541"/>
      <c r="E25" s="541"/>
      <c r="F25" s="541"/>
      <c r="G25" s="541"/>
      <c r="H25" s="541"/>
      <c r="I25" s="541"/>
      <c r="J25" s="541"/>
      <c r="K25" s="541"/>
      <c r="L25" s="541"/>
      <c r="M25" s="541"/>
      <c r="N25" s="541"/>
    </row>
    <row r="26" spans="1:15" ht="12.75">
      <c r="A26" s="29">
        <v>1</v>
      </c>
      <c r="B26" s="255">
        <v>12</v>
      </c>
      <c r="C26" s="17" t="s">
        <v>4529</v>
      </c>
      <c r="D26" s="17" t="s">
        <v>1613</v>
      </c>
      <c r="E26" s="17" t="s">
        <v>1658</v>
      </c>
      <c r="F26" s="17" t="str">
        <f>"0,6832"</f>
        <v>0,6832</v>
      </c>
      <c r="G26" s="17" t="s">
        <v>14</v>
      </c>
      <c r="H26" s="17" t="s">
        <v>1642</v>
      </c>
      <c r="I26" s="138" t="s">
        <v>190</v>
      </c>
      <c r="J26" s="46" t="s">
        <v>252</v>
      </c>
      <c r="K26" s="46" t="s">
        <v>252</v>
      </c>
      <c r="L26" s="36"/>
      <c r="M26" s="44">
        <v>200</v>
      </c>
      <c r="N26" s="35" t="str">
        <f>"136,6400"</f>
        <v>136,6400</v>
      </c>
      <c r="O26" s="17" t="s">
        <v>1668</v>
      </c>
    </row>
    <row r="27" spans="1:15" ht="12.75">
      <c r="A27" s="29">
        <v>1</v>
      </c>
      <c r="B27" s="255">
        <v>12</v>
      </c>
      <c r="C27" s="19" t="s">
        <v>1523</v>
      </c>
      <c r="D27" s="19" t="s">
        <v>1524</v>
      </c>
      <c r="E27" s="19" t="s">
        <v>1659</v>
      </c>
      <c r="F27" s="19" t="str">
        <f>"0,6774"</f>
        <v>0,6774</v>
      </c>
      <c r="G27" s="19" t="s">
        <v>14</v>
      </c>
      <c r="H27" s="19" t="s">
        <v>1642</v>
      </c>
      <c r="I27" s="139" t="s">
        <v>89</v>
      </c>
      <c r="J27" s="48" t="s">
        <v>480</v>
      </c>
      <c r="K27" s="48" t="s">
        <v>480</v>
      </c>
      <c r="L27" s="42"/>
      <c r="M27" s="43">
        <v>130</v>
      </c>
      <c r="N27" s="41" t="str">
        <f>"88,0620"</f>
        <v>88,0620</v>
      </c>
      <c r="O27" s="19" t="s">
        <v>1664</v>
      </c>
    </row>
    <row r="28" ht="12.75">
      <c r="B28" s="471"/>
    </row>
    <row r="29" spans="2:14" ht="15.75">
      <c r="B29" s="255"/>
      <c r="C29" s="541" t="s">
        <v>164</v>
      </c>
      <c r="D29" s="541"/>
      <c r="E29" s="541"/>
      <c r="F29" s="541"/>
      <c r="G29" s="541"/>
      <c r="H29" s="541"/>
      <c r="I29" s="541"/>
      <c r="J29" s="541"/>
      <c r="K29" s="541"/>
      <c r="L29" s="541"/>
      <c r="M29" s="541"/>
      <c r="N29" s="541"/>
    </row>
    <row r="30" spans="1:15" ht="12.75">
      <c r="A30" s="29">
        <v>1</v>
      </c>
      <c r="B30" s="255"/>
      <c r="C30" s="20" t="s">
        <v>4530</v>
      </c>
      <c r="D30" s="20" t="s">
        <v>1614</v>
      </c>
      <c r="E30" s="20" t="s">
        <v>1660</v>
      </c>
      <c r="F30" s="20" t="str">
        <f>"0,6113"</f>
        <v>0,6113</v>
      </c>
      <c r="G30" s="20" t="s">
        <v>31</v>
      </c>
      <c r="H30" s="20" t="s">
        <v>1642</v>
      </c>
      <c r="I30" s="134" t="s">
        <v>319</v>
      </c>
      <c r="J30" s="134" t="s">
        <v>845</v>
      </c>
      <c r="K30" s="134" t="s">
        <v>850</v>
      </c>
      <c r="L30" s="31"/>
      <c r="M30" s="34">
        <v>267.5</v>
      </c>
      <c r="N30" s="33" t="str">
        <f>"163,5227"</f>
        <v>163,5227</v>
      </c>
      <c r="O30" s="20" t="s">
        <v>1669</v>
      </c>
    </row>
    <row r="31" ht="12.75">
      <c r="B31" s="471"/>
    </row>
    <row r="32" spans="2:14" ht="15.75">
      <c r="B32" s="255"/>
      <c r="C32" s="541" t="s">
        <v>304</v>
      </c>
      <c r="D32" s="541"/>
      <c r="E32" s="541"/>
      <c r="F32" s="541"/>
      <c r="G32" s="541"/>
      <c r="H32" s="541"/>
      <c r="I32" s="541"/>
      <c r="J32" s="541"/>
      <c r="K32" s="541"/>
      <c r="L32" s="541"/>
      <c r="M32" s="541"/>
      <c r="N32" s="541"/>
    </row>
    <row r="33" spans="1:15" ht="12.75">
      <c r="A33" s="29">
        <v>1</v>
      </c>
      <c r="B33" s="255"/>
      <c r="C33" s="17" t="s">
        <v>4416</v>
      </c>
      <c r="D33" s="88" t="s">
        <v>1248</v>
      </c>
      <c r="E33" s="84" t="s">
        <v>1933</v>
      </c>
      <c r="F33" s="17" t="str">
        <f>"0,5820"</f>
        <v>0,5820</v>
      </c>
      <c r="G33" s="84" t="s">
        <v>31</v>
      </c>
      <c r="H33" s="17" t="s">
        <v>168</v>
      </c>
      <c r="I33" s="46" t="s">
        <v>899</v>
      </c>
      <c r="J33" s="138" t="s">
        <v>899</v>
      </c>
      <c r="K33" s="46" t="s">
        <v>1249</v>
      </c>
      <c r="L33" s="86"/>
      <c r="M33" s="44">
        <v>350</v>
      </c>
      <c r="N33" s="35" t="s">
        <v>2107</v>
      </c>
      <c r="O33" s="88" t="s">
        <v>1952</v>
      </c>
    </row>
    <row r="34" spans="1:15" ht="12.75">
      <c r="A34" s="29">
        <v>1</v>
      </c>
      <c r="B34" s="255"/>
      <c r="C34" s="18" t="s">
        <v>4435</v>
      </c>
      <c r="D34" s="93" t="s">
        <v>326</v>
      </c>
      <c r="E34" s="18" t="s">
        <v>1661</v>
      </c>
      <c r="F34" s="18" t="str">
        <f>"0,5757"</f>
        <v>0,5757</v>
      </c>
      <c r="G34" s="18" t="s">
        <v>209</v>
      </c>
      <c r="H34" s="18" t="s">
        <v>2130</v>
      </c>
      <c r="I34" s="140" t="s">
        <v>341</v>
      </c>
      <c r="J34" s="47" t="s">
        <v>860</v>
      </c>
      <c r="K34" s="140" t="s">
        <v>860</v>
      </c>
      <c r="L34" s="39"/>
      <c r="M34" s="40">
        <v>300</v>
      </c>
      <c r="N34" s="38" t="str">
        <f>"172,7100"</f>
        <v>172,7100</v>
      </c>
      <c r="O34" s="18" t="s">
        <v>2105</v>
      </c>
    </row>
    <row r="35" spans="1:15" ht="12.75">
      <c r="A35" s="29">
        <v>2</v>
      </c>
      <c r="B35" s="255"/>
      <c r="C35" s="18" t="s">
        <v>4531</v>
      </c>
      <c r="D35" s="93" t="s">
        <v>1255</v>
      </c>
      <c r="E35" s="18" t="s">
        <v>1662</v>
      </c>
      <c r="F35" s="18" t="str">
        <f>"0,5785"</f>
        <v>0,5785</v>
      </c>
      <c r="G35" s="18" t="s">
        <v>209</v>
      </c>
      <c r="H35" s="18" t="s">
        <v>1647</v>
      </c>
      <c r="I35" s="140" t="s">
        <v>317</v>
      </c>
      <c r="J35" s="140" t="s">
        <v>319</v>
      </c>
      <c r="K35" s="47" t="s">
        <v>845</v>
      </c>
      <c r="L35" s="39"/>
      <c r="M35" s="40">
        <v>250</v>
      </c>
      <c r="N35" s="38" t="str">
        <f>"144,6250"</f>
        <v>144,6250</v>
      </c>
      <c r="O35" s="18" t="s">
        <v>2106</v>
      </c>
    </row>
    <row r="36" spans="1:15" ht="12.75">
      <c r="A36" s="29">
        <v>3</v>
      </c>
      <c r="B36" s="255">
        <v>8</v>
      </c>
      <c r="C36" s="19" t="s">
        <v>4532</v>
      </c>
      <c r="D36" s="95" t="s">
        <v>335</v>
      </c>
      <c r="E36" s="19" t="s">
        <v>88</v>
      </c>
      <c r="F36" s="19" t="str">
        <f>"0,5749"</f>
        <v>0,5749</v>
      </c>
      <c r="G36" s="19" t="s">
        <v>2104</v>
      </c>
      <c r="H36" s="19" t="s">
        <v>337</v>
      </c>
      <c r="I36" s="47" t="s">
        <v>317</v>
      </c>
      <c r="J36" s="139" t="s">
        <v>317</v>
      </c>
      <c r="K36" s="139" t="s">
        <v>319</v>
      </c>
      <c r="L36" s="42"/>
      <c r="M36" s="43">
        <v>250</v>
      </c>
      <c r="N36" s="41" t="str">
        <f>"143,7250"</f>
        <v>143,7250</v>
      </c>
      <c r="O36" s="19" t="s">
        <v>1670</v>
      </c>
    </row>
    <row r="37" spans="2:14" ht="15.75">
      <c r="B37" s="472"/>
      <c r="I37" s="78"/>
      <c r="J37" s="78"/>
      <c r="K37" s="78"/>
      <c r="L37" s="78"/>
      <c r="M37" s="78"/>
      <c r="N37" s="78"/>
    </row>
    <row r="38" spans="2:14" ht="15.75">
      <c r="B38" s="255"/>
      <c r="C38" s="541" t="s">
        <v>2108</v>
      </c>
      <c r="D38" s="541"/>
      <c r="E38" s="541"/>
      <c r="F38" s="541"/>
      <c r="G38" s="541"/>
      <c r="H38" s="541"/>
      <c r="I38" s="541"/>
      <c r="J38" s="541"/>
      <c r="K38" s="541"/>
      <c r="L38" s="541"/>
      <c r="M38" s="541"/>
      <c r="N38" s="541"/>
    </row>
    <row r="39" spans="1:15" ht="12.75">
      <c r="A39" s="29">
        <v>1</v>
      </c>
      <c r="B39" s="255"/>
      <c r="C39" s="20" t="s">
        <v>4533</v>
      </c>
      <c r="D39" s="20" t="s">
        <v>1264</v>
      </c>
      <c r="E39" s="20" t="s">
        <v>1663</v>
      </c>
      <c r="F39" s="20" t="str">
        <f>"0,5405"</f>
        <v>0,5405</v>
      </c>
      <c r="G39" s="20" t="s">
        <v>31</v>
      </c>
      <c r="H39" s="20" t="s">
        <v>2247</v>
      </c>
      <c r="I39" s="134" t="s">
        <v>2103</v>
      </c>
      <c r="J39" s="134" t="s">
        <v>1265</v>
      </c>
      <c r="K39" s="134" t="s">
        <v>1266</v>
      </c>
      <c r="L39" s="31"/>
      <c r="M39" s="34">
        <v>425</v>
      </c>
      <c r="N39" s="33" t="str">
        <f>"229,7125"</f>
        <v>229,7125</v>
      </c>
      <c r="O39" s="20" t="s">
        <v>1671</v>
      </c>
    </row>
    <row r="41" spans="3:4" ht="18">
      <c r="C41" s="16" t="s">
        <v>370</v>
      </c>
      <c r="D41" s="16"/>
    </row>
    <row r="42" spans="3:4" ht="15.75">
      <c r="C42" s="22" t="s">
        <v>371</v>
      </c>
      <c r="D42" s="22"/>
    </row>
    <row r="43" spans="3:4" ht="13.5">
      <c r="C43" s="24"/>
      <c r="D43" s="25" t="s">
        <v>2102</v>
      </c>
    </row>
    <row r="44" spans="3:7" ht="13.5">
      <c r="C44" s="26" t="s">
        <v>373</v>
      </c>
      <c r="D44" s="26" t="s">
        <v>374</v>
      </c>
      <c r="E44" s="26" t="s">
        <v>375</v>
      </c>
      <c r="F44" s="26" t="s">
        <v>376</v>
      </c>
      <c r="G44" s="26" t="s">
        <v>377</v>
      </c>
    </row>
    <row r="45" spans="1:7" ht="12.75">
      <c r="A45" s="29">
        <v>1</v>
      </c>
      <c r="C45" s="90" t="s">
        <v>1205</v>
      </c>
      <c r="D45" s="49" t="s">
        <v>372</v>
      </c>
      <c r="E45" s="49" t="s">
        <v>383</v>
      </c>
      <c r="F45" s="49" t="s">
        <v>312</v>
      </c>
      <c r="G45" s="50" t="s">
        <v>1615</v>
      </c>
    </row>
    <row r="46" spans="1:7" ht="12.75">
      <c r="A46" s="29">
        <v>2</v>
      </c>
      <c r="C46" s="90" t="s">
        <v>1203</v>
      </c>
      <c r="D46" s="49" t="s">
        <v>372</v>
      </c>
      <c r="E46" s="49" t="s">
        <v>380</v>
      </c>
      <c r="F46" s="49" t="s">
        <v>190</v>
      </c>
      <c r="G46" s="50" t="s">
        <v>1616</v>
      </c>
    </row>
    <row r="47" spans="1:7" ht="12.75">
      <c r="A47" s="29">
        <v>3</v>
      </c>
      <c r="C47" s="90" t="s">
        <v>1519</v>
      </c>
      <c r="D47" s="49" t="s">
        <v>372</v>
      </c>
      <c r="E47" s="49" t="s">
        <v>380</v>
      </c>
      <c r="F47" s="49" t="s">
        <v>57</v>
      </c>
      <c r="G47" s="50" t="s">
        <v>1617</v>
      </c>
    </row>
    <row r="49" spans="3:4" ht="15.75">
      <c r="C49" s="22" t="s">
        <v>387</v>
      </c>
      <c r="D49" s="22"/>
    </row>
    <row r="50" spans="3:4" ht="13.5">
      <c r="C50" s="24"/>
      <c r="D50" s="25" t="s">
        <v>2102</v>
      </c>
    </row>
    <row r="51" spans="3:7" ht="13.5">
      <c r="C51" s="26" t="s">
        <v>373</v>
      </c>
      <c r="D51" s="26" t="s">
        <v>374</v>
      </c>
      <c r="E51" s="26" t="s">
        <v>375</v>
      </c>
      <c r="F51" s="26" t="s">
        <v>376</v>
      </c>
      <c r="G51" s="26" t="s">
        <v>377</v>
      </c>
    </row>
    <row r="52" spans="1:7" ht="12.75">
      <c r="A52" s="29">
        <v>1</v>
      </c>
      <c r="C52" s="90" t="s">
        <v>1263</v>
      </c>
      <c r="D52" s="49" t="s">
        <v>372</v>
      </c>
      <c r="E52" s="49" t="s">
        <v>405</v>
      </c>
      <c r="F52" s="49" t="s">
        <v>1266</v>
      </c>
      <c r="G52" s="50" t="s">
        <v>1618</v>
      </c>
    </row>
    <row r="53" spans="1:7" ht="12.75">
      <c r="A53" s="29">
        <v>2</v>
      </c>
      <c r="C53" s="90" t="s">
        <v>325</v>
      </c>
      <c r="D53" s="49" t="s">
        <v>372</v>
      </c>
      <c r="E53" s="49" t="s">
        <v>389</v>
      </c>
      <c r="F53" s="49" t="s">
        <v>860</v>
      </c>
      <c r="G53" s="50" t="s">
        <v>1619</v>
      </c>
    </row>
    <row r="54" spans="1:7" ht="12.75">
      <c r="A54" s="29">
        <v>3</v>
      </c>
      <c r="C54" s="90" t="s">
        <v>1210</v>
      </c>
      <c r="D54" s="49" t="s">
        <v>372</v>
      </c>
      <c r="E54" s="49" t="s">
        <v>380</v>
      </c>
      <c r="F54" s="49" t="s">
        <v>252</v>
      </c>
      <c r="G54" s="50" t="s">
        <v>1620</v>
      </c>
    </row>
  </sheetData>
  <sheetProtection/>
  <mergeCells count="22">
    <mergeCell ref="C38:N38"/>
    <mergeCell ref="C5:N5"/>
    <mergeCell ref="C8:N8"/>
    <mergeCell ref="C13:N13"/>
    <mergeCell ref="C18:N18"/>
    <mergeCell ref="I3:L3"/>
    <mergeCell ref="C25:N25"/>
    <mergeCell ref="A3:A4"/>
    <mergeCell ref="C22:N22"/>
    <mergeCell ref="N3:N4"/>
    <mergeCell ref="C32:N32"/>
    <mergeCell ref="O3:O4"/>
    <mergeCell ref="G3:G4"/>
    <mergeCell ref="B3:B4"/>
    <mergeCell ref="C1:O2"/>
    <mergeCell ref="C3:C4"/>
    <mergeCell ref="D3:D4"/>
    <mergeCell ref="E3:E4"/>
    <mergeCell ref="F3:F4"/>
    <mergeCell ref="C29:N29"/>
    <mergeCell ref="M3:M4"/>
    <mergeCell ref="H3:H4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G36" sqref="G36"/>
    </sheetView>
  </sheetViews>
  <sheetFormatPr defaultColWidth="8.75390625" defaultRowHeight="12.75"/>
  <cols>
    <col min="1" max="1" width="7.00390625" style="29" customWidth="1"/>
    <col min="2" max="2" width="11.625" style="410" customWidth="1"/>
    <col min="3" max="3" width="22.125" style="15" customWidth="1"/>
    <col min="4" max="4" width="27.125" style="15" bestFit="1" customWidth="1"/>
    <col min="5" max="5" width="10.625" style="15" bestFit="1" customWidth="1"/>
    <col min="6" max="6" width="8.375" style="15" bestFit="1" customWidth="1"/>
    <col min="7" max="7" width="28.125" style="15" customWidth="1"/>
    <col min="8" max="8" width="36.375" style="15" customWidth="1"/>
    <col min="9" max="9" width="5.00390625" style="15" customWidth="1"/>
    <col min="10" max="10" width="5.75390625" style="15" customWidth="1"/>
    <col min="11" max="11" width="5.25390625" style="15" customWidth="1"/>
    <col min="12" max="12" width="4.625" style="15" bestFit="1" customWidth="1"/>
    <col min="13" max="13" width="10.875" style="15" customWidth="1"/>
    <col min="14" max="14" width="8.625" style="15" bestFit="1" customWidth="1"/>
    <col min="15" max="15" width="15.375" style="15" bestFit="1" customWidth="1"/>
  </cols>
  <sheetData>
    <row r="1" spans="1:15" s="1" customFormat="1" ht="15" customHeight="1">
      <c r="A1" s="28"/>
      <c r="B1" s="443"/>
      <c r="C1" s="552" t="s">
        <v>2109</v>
      </c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</row>
    <row r="2" spans="1:15" s="1" customFormat="1" ht="105" customHeight="1" thickBot="1">
      <c r="A2" s="28"/>
      <c r="B2" s="44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</row>
    <row r="3" spans="1:15" s="2" customFormat="1" ht="12.75" customHeight="1">
      <c r="A3" s="546" t="s">
        <v>1627</v>
      </c>
      <c r="B3" s="516" t="s">
        <v>4516</v>
      </c>
      <c r="C3" s="542" t="s">
        <v>0</v>
      </c>
      <c r="D3" s="548" t="s">
        <v>1628</v>
      </c>
      <c r="E3" s="548" t="s">
        <v>1629</v>
      </c>
      <c r="F3" s="542" t="s">
        <v>9</v>
      </c>
      <c r="G3" s="542" t="s">
        <v>7</v>
      </c>
      <c r="H3" s="548" t="s">
        <v>3276</v>
      </c>
      <c r="I3" s="542" t="s">
        <v>1</v>
      </c>
      <c r="J3" s="542"/>
      <c r="K3" s="542"/>
      <c r="L3" s="542"/>
      <c r="M3" s="550" t="s">
        <v>1672</v>
      </c>
      <c r="N3" s="542" t="s">
        <v>6</v>
      </c>
      <c r="O3" s="544" t="s">
        <v>5</v>
      </c>
    </row>
    <row r="4" spans="1:15" s="2" customFormat="1" ht="21" customHeight="1" thickBot="1">
      <c r="A4" s="547"/>
      <c r="B4" s="517"/>
      <c r="C4" s="543"/>
      <c r="D4" s="543"/>
      <c r="E4" s="549"/>
      <c r="F4" s="543"/>
      <c r="G4" s="543"/>
      <c r="H4" s="543"/>
      <c r="I4" s="3">
        <v>1</v>
      </c>
      <c r="J4" s="3">
        <v>2</v>
      </c>
      <c r="K4" s="3">
        <v>3</v>
      </c>
      <c r="L4" s="3" t="s">
        <v>8</v>
      </c>
      <c r="M4" s="551"/>
      <c r="N4" s="543"/>
      <c r="O4" s="545"/>
    </row>
    <row r="5" spans="3:14" ht="15.75">
      <c r="C5" s="526" t="s">
        <v>412</v>
      </c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</row>
    <row r="6" spans="1:15" ht="12.75">
      <c r="A6" s="29">
        <v>1</v>
      </c>
      <c r="B6" s="410">
        <v>12</v>
      </c>
      <c r="C6" s="20" t="s">
        <v>4417</v>
      </c>
      <c r="D6" s="20" t="s">
        <v>1431</v>
      </c>
      <c r="E6" s="20" t="s">
        <v>1676</v>
      </c>
      <c r="F6" s="20" t="str">
        <f>"1,3636"</f>
        <v>1,3636</v>
      </c>
      <c r="G6" s="20" t="s">
        <v>130</v>
      </c>
      <c r="H6" s="20" t="s">
        <v>1643</v>
      </c>
      <c r="I6" s="159" t="s">
        <v>95</v>
      </c>
      <c r="J6" s="160" t="s">
        <v>56</v>
      </c>
      <c r="K6" s="160" t="s">
        <v>666</v>
      </c>
      <c r="L6" s="21"/>
      <c r="M6" s="33">
        <v>77.5</v>
      </c>
      <c r="N6" s="33" t="str">
        <f>"105,6790"</f>
        <v>105,6790</v>
      </c>
      <c r="O6" s="20" t="s">
        <v>1673</v>
      </c>
    </row>
    <row r="8" spans="3:14" ht="15.75">
      <c r="C8" s="541" t="s">
        <v>59</v>
      </c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</row>
    <row r="9" spans="1:15" ht="12.75">
      <c r="A9" s="29">
        <v>1</v>
      </c>
      <c r="C9" s="20" t="s">
        <v>3884</v>
      </c>
      <c r="D9" s="20" t="s">
        <v>156</v>
      </c>
      <c r="E9" s="20" t="s">
        <v>1677</v>
      </c>
      <c r="F9" s="20" t="str">
        <f>"0,6410"</f>
        <v>0,6410</v>
      </c>
      <c r="G9" s="20" t="s">
        <v>31</v>
      </c>
      <c r="H9" s="20" t="s">
        <v>1675</v>
      </c>
      <c r="I9" s="160" t="s">
        <v>237</v>
      </c>
      <c r="J9" s="160" t="s">
        <v>238</v>
      </c>
      <c r="K9" s="160" t="s">
        <v>239</v>
      </c>
      <c r="L9" s="21"/>
      <c r="M9" s="33" t="s">
        <v>239</v>
      </c>
      <c r="N9" s="33" t="str">
        <f>"150,6350"</f>
        <v>150,6350</v>
      </c>
      <c r="O9" s="20" t="s">
        <v>158</v>
      </c>
    </row>
    <row r="11" spans="3:14" ht="15.75">
      <c r="C11" s="541" t="s">
        <v>227</v>
      </c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</row>
    <row r="12" spans="1:15" ht="12.75">
      <c r="A12" s="29">
        <v>1</v>
      </c>
      <c r="B12" s="410">
        <v>12</v>
      </c>
      <c r="C12" s="17" t="s">
        <v>4418</v>
      </c>
      <c r="D12" s="88" t="s">
        <v>1137</v>
      </c>
      <c r="E12" s="17" t="s">
        <v>1678</v>
      </c>
      <c r="F12" s="17" t="str">
        <f>"0,5903"</f>
        <v>0,5903</v>
      </c>
      <c r="G12" s="17" t="s">
        <v>130</v>
      </c>
      <c r="H12" s="83" t="s">
        <v>967</v>
      </c>
      <c r="I12" s="161" t="s">
        <v>126</v>
      </c>
      <c r="J12" s="154" t="s">
        <v>191</v>
      </c>
      <c r="K12" s="163" t="s">
        <v>818</v>
      </c>
      <c r="L12" s="155"/>
      <c r="M12" s="35">
        <v>212.5</v>
      </c>
      <c r="N12" s="35" t="str">
        <f>"125,4388"</f>
        <v>125,4388</v>
      </c>
      <c r="O12" s="17" t="s">
        <v>51</v>
      </c>
    </row>
    <row r="13" spans="1:15" ht="12.75">
      <c r="A13" s="29">
        <v>1</v>
      </c>
      <c r="B13" s="410">
        <v>12</v>
      </c>
      <c r="C13" s="19" t="s">
        <v>4418</v>
      </c>
      <c r="D13" s="95" t="s">
        <v>1141</v>
      </c>
      <c r="E13" s="19" t="s">
        <v>1678</v>
      </c>
      <c r="F13" s="19" t="str">
        <f>"0,5903"</f>
        <v>0,5903</v>
      </c>
      <c r="G13" s="19" t="s">
        <v>130</v>
      </c>
      <c r="H13" s="94" t="s">
        <v>967</v>
      </c>
      <c r="I13" s="162" t="s">
        <v>126</v>
      </c>
      <c r="J13" s="157" t="s">
        <v>191</v>
      </c>
      <c r="K13" s="164" t="s">
        <v>818</v>
      </c>
      <c r="L13" s="156"/>
      <c r="M13" s="41">
        <v>212.5</v>
      </c>
      <c r="N13" s="41" t="str">
        <f>"151,4046"</f>
        <v>151,4046</v>
      </c>
      <c r="O13" s="19" t="s">
        <v>51</v>
      </c>
    </row>
    <row r="15" spans="3:14" ht="15.75">
      <c r="C15" s="541" t="s">
        <v>304</v>
      </c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1"/>
    </row>
    <row r="16" spans="1:15" ht="12.75">
      <c r="A16" s="29">
        <v>1</v>
      </c>
      <c r="B16" s="410">
        <v>24</v>
      </c>
      <c r="C16" s="20" t="s">
        <v>4419</v>
      </c>
      <c r="D16" s="20" t="s">
        <v>730</v>
      </c>
      <c r="E16" s="20" t="s">
        <v>1679</v>
      </c>
      <c r="F16" s="20" t="str">
        <f>"0,5780"</f>
        <v>0,5780</v>
      </c>
      <c r="G16" s="20" t="s">
        <v>148</v>
      </c>
      <c r="H16" s="20" t="s">
        <v>149</v>
      </c>
      <c r="I16" s="160" t="s">
        <v>238</v>
      </c>
      <c r="J16" s="160" t="s">
        <v>319</v>
      </c>
      <c r="K16" s="134" t="s">
        <v>845</v>
      </c>
      <c r="L16" s="21"/>
      <c r="M16" s="33" t="s">
        <v>845</v>
      </c>
      <c r="N16" s="33" t="str">
        <f>"150,2800"</f>
        <v>150,2800</v>
      </c>
      <c r="O16" s="20" t="s">
        <v>1674</v>
      </c>
    </row>
    <row r="18" spans="3:4" ht="18">
      <c r="C18" s="16" t="s">
        <v>370</v>
      </c>
      <c r="D18" s="16"/>
    </row>
    <row r="19" spans="3:4" ht="15.75">
      <c r="C19" s="22" t="s">
        <v>387</v>
      </c>
      <c r="D19" s="22"/>
    </row>
    <row r="20" spans="3:4" ht="13.5">
      <c r="C20" s="24"/>
      <c r="D20" s="25" t="s">
        <v>2102</v>
      </c>
    </row>
    <row r="21" spans="3:7" ht="13.5">
      <c r="C21" s="26" t="s">
        <v>373</v>
      </c>
      <c r="D21" s="26" t="s">
        <v>374</v>
      </c>
      <c r="E21" s="26" t="s">
        <v>375</v>
      </c>
      <c r="F21" s="26" t="s">
        <v>376</v>
      </c>
      <c r="G21" s="26" t="s">
        <v>377</v>
      </c>
    </row>
    <row r="22" spans="1:7" ht="12.75">
      <c r="A22" s="29">
        <v>1</v>
      </c>
      <c r="C22" s="89" t="s">
        <v>155</v>
      </c>
      <c r="D22" s="49" t="s">
        <v>372</v>
      </c>
      <c r="E22" s="49" t="s">
        <v>378</v>
      </c>
      <c r="F22" s="49" t="s">
        <v>239</v>
      </c>
      <c r="G22" s="50" t="s">
        <v>1603</v>
      </c>
    </row>
    <row r="23" spans="1:7" ht="12.75">
      <c r="A23" s="29">
        <v>2</v>
      </c>
      <c r="C23" s="89" t="s">
        <v>729</v>
      </c>
      <c r="D23" s="49" t="s">
        <v>372</v>
      </c>
      <c r="E23" s="49" t="s">
        <v>389</v>
      </c>
      <c r="F23" s="49" t="s">
        <v>845</v>
      </c>
      <c r="G23" s="50" t="s">
        <v>1604</v>
      </c>
    </row>
    <row r="24" spans="1:7" ht="12.75">
      <c r="A24" s="29">
        <v>3</v>
      </c>
      <c r="C24" s="89" t="s">
        <v>1136</v>
      </c>
      <c r="D24" s="49" t="s">
        <v>372</v>
      </c>
      <c r="E24" s="49" t="s">
        <v>392</v>
      </c>
      <c r="F24" s="49" t="s">
        <v>818</v>
      </c>
      <c r="G24" s="50" t="s">
        <v>1605</v>
      </c>
    </row>
  </sheetData>
  <sheetProtection/>
  <mergeCells count="17">
    <mergeCell ref="C15:N15"/>
    <mergeCell ref="M3:M4"/>
    <mergeCell ref="N3:N4"/>
    <mergeCell ref="O3:O4"/>
    <mergeCell ref="C5:N5"/>
    <mergeCell ref="C8:N8"/>
    <mergeCell ref="C11:N11"/>
    <mergeCell ref="A3:A4"/>
    <mergeCell ref="C1:O2"/>
    <mergeCell ref="C3:C4"/>
    <mergeCell ref="D3:D4"/>
    <mergeCell ref="E3:E4"/>
    <mergeCell ref="F3:F4"/>
    <mergeCell ref="G3:G4"/>
    <mergeCell ref="H3:H4"/>
    <mergeCell ref="I3:L3"/>
    <mergeCell ref="B3:B4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H38" sqref="H38"/>
    </sheetView>
  </sheetViews>
  <sheetFormatPr defaultColWidth="8.75390625" defaultRowHeight="12.75"/>
  <cols>
    <col min="1" max="1" width="8.00390625" style="29" customWidth="1"/>
    <col min="2" max="2" width="10.25390625" style="410" customWidth="1"/>
    <col min="3" max="3" width="24.375" style="15" customWidth="1"/>
    <col min="4" max="4" width="25.75390625" style="15" customWidth="1"/>
    <col min="5" max="5" width="10.625" style="15" bestFit="1" customWidth="1"/>
    <col min="6" max="6" width="8.375" style="15" bestFit="1" customWidth="1"/>
    <col min="7" max="7" width="22.75390625" style="15" bestFit="1" customWidth="1"/>
    <col min="8" max="8" width="36.125" style="15" customWidth="1"/>
    <col min="9" max="9" width="5.25390625" style="15" customWidth="1"/>
    <col min="10" max="12" width="5.625" style="15" bestFit="1" customWidth="1"/>
    <col min="13" max="13" width="11.75390625" style="30" customWidth="1"/>
    <col min="14" max="14" width="8.625" style="15" bestFit="1" customWidth="1"/>
    <col min="15" max="15" width="15.75390625" style="15" bestFit="1" customWidth="1"/>
  </cols>
  <sheetData>
    <row r="1" spans="1:15" s="1" customFormat="1" ht="15" customHeight="1">
      <c r="A1" s="28"/>
      <c r="B1" s="443"/>
      <c r="C1" s="552" t="s">
        <v>2110</v>
      </c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</row>
    <row r="2" spans="1:15" s="1" customFormat="1" ht="90" customHeight="1" thickBot="1">
      <c r="A2" s="28"/>
      <c r="B2" s="44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</row>
    <row r="3" spans="1:15" s="2" customFormat="1" ht="21" customHeight="1">
      <c r="A3" s="546" t="s">
        <v>1627</v>
      </c>
      <c r="B3" s="516" t="s">
        <v>4516</v>
      </c>
      <c r="C3" s="542" t="s">
        <v>0</v>
      </c>
      <c r="D3" s="548" t="s">
        <v>1628</v>
      </c>
      <c r="E3" s="548" t="s">
        <v>1629</v>
      </c>
      <c r="F3" s="542" t="s">
        <v>9</v>
      </c>
      <c r="G3" s="542" t="s">
        <v>7</v>
      </c>
      <c r="H3" s="514" t="s">
        <v>3275</v>
      </c>
      <c r="I3" s="542" t="s">
        <v>1</v>
      </c>
      <c r="J3" s="542"/>
      <c r="K3" s="542"/>
      <c r="L3" s="542"/>
      <c r="M3" s="550" t="s">
        <v>1672</v>
      </c>
      <c r="N3" s="542" t="s">
        <v>6</v>
      </c>
      <c r="O3" s="544" t="s">
        <v>5</v>
      </c>
    </row>
    <row r="4" spans="1:15" s="2" customFormat="1" ht="21" customHeight="1" thickBot="1">
      <c r="A4" s="547"/>
      <c r="B4" s="517"/>
      <c r="C4" s="543"/>
      <c r="D4" s="543"/>
      <c r="E4" s="549"/>
      <c r="F4" s="543"/>
      <c r="G4" s="543"/>
      <c r="H4" s="515"/>
      <c r="I4" s="3">
        <v>1</v>
      </c>
      <c r="J4" s="3">
        <v>2</v>
      </c>
      <c r="K4" s="3">
        <v>3</v>
      </c>
      <c r="L4" s="3" t="s">
        <v>8</v>
      </c>
      <c r="M4" s="551"/>
      <c r="N4" s="543"/>
      <c r="O4" s="545"/>
    </row>
    <row r="5" spans="3:14" ht="15.75">
      <c r="C5" s="526" t="s">
        <v>59</v>
      </c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</row>
    <row r="6" spans="1:15" ht="12.75">
      <c r="A6" s="29">
        <v>1</v>
      </c>
      <c r="C6" s="17" t="s">
        <v>4364</v>
      </c>
      <c r="D6" s="17" t="s">
        <v>1033</v>
      </c>
      <c r="E6" s="17" t="s">
        <v>1677</v>
      </c>
      <c r="F6" s="17" t="str">
        <f>"0,6410"</f>
        <v>0,6410</v>
      </c>
      <c r="G6" s="17" t="s">
        <v>31</v>
      </c>
      <c r="H6" s="83" t="s">
        <v>1683</v>
      </c>
      <c r="I6" s="107" t="s">
        <v>317</v>
      </c>
      <c r="J6" s="138" t="s">
        <v>317</v>
      </c>
      <c r="K6" s="121" t="s">
        <v>319</v>
      </c>
      <c r="L6" s="101"/>
      <c r="M6" s="44">
        <v>240</v>
      </c>
      <c r="N6" s="35" t="str">
        <f>"153,8400"</f>
        <v>153,8400</v>
      </c>
      <c r="O6" s="17" t="s">
        <v>51</v>
      </c>
    </row>
    <row r="7" spans="1:15" ht="12.75">
      <c r="A7" s="29">
        <v>2</v>
      </c>
      <c r="C7" s="19" t="s">
        <v>4256</v>
      </c>
      <c r="D7" s="19" t="s">
        <v>156</v>
      </c>
      <c r="E7" s="19" t="s">
        <v>1677</v>
      </c>
      <c r="F7" s="19" t="str">
        <f>"0,6410"</f>
        <v>0,6410</v>
      </c>
      <c r="G7" s="19" t="s">
        <v>31</v>
      </c>
      <c r="H7" s="94" t="s">
        <v>1675</v>
      </c>
      <c r="I7" s="162" t="s">
        <v>237</v>
      </c>
      <c r="J7" s="166" t="s">
        <v>238</v>
      </c>
      <c r="K7" s="164" t="s">
        <v>239</v>
      </c>
      <c r="L7" s="165"/>
      <c r="M7" s="33" t="s">
        <v>239</v>
      </c>
      <c r="N7" s="33" t="str">
        <f>"150,6350"</f>
        <v>150,6350</v>
      </c>
      <c r="O7" s="19" t="s">
        <v>158</v>
      </c>
    </row>
    <row r="9" spans="3:14" ht="15.75">
      <c r="C9" s="541" t="s">
        <v>164</v>
      </c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</row>
    <row r="10" spans="1:15" ht="12.75">
      <c r="A10" s="29">
        <v>1</v>
      </c>
      <c r="C10" s="20" t="s">
        <v>4422</v>
      </c>
      <c r="D10" s="20" t="s">
        <v>1385</v>
      </c>
      <c r="E10" s="20" t="s">
        <v>1680</v>
      </c>
      <c r="F10" s="20" t="str">
        <f>"0,6244"</f>
        <v>0,6244</v>
      </c>
      <c r="G10" s="20" t="s">
        <v>31</v>
      </c>
      <c r="H10" s="20" t="s">
        <v>1641</v>
      </c>
      <c r="I10" s="134" t="s">
        <v>153</v>
      </c>
      <c r="J10" s="134" t="s">
        <v>127</v>
      </c>
      <c r="K10" s="134" t="s">
        <v>108</v>
      </c>
      <c r="L10" s="45" t="s">
        <v>120</v>
      </c>
      <c r="M10" s="34">
        <v>190</v>
      </c>
      <c r="N10" s="33" t="str">
        <f>"145,6850"</f>
        <v>145,6850</v>
      </c>
      <c r="O10" s="20" t="s">
        <v>1386</v>
      </c>
    </row>
    <row r="12" spans="3:14" ht="15.75">
      <c r="C12" s="541" t="s">
        <v>227</v>
      </c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</row>
    <row r="13" spans="1:15" ht="12.75">
      <c r="A13" s="29">
        <v>1</v>
      </c>
      <c r="B13" s="410">
        <v>24</v>
      </c>
      <c r="C13" s="17" t="s">
        <v>4420</v>
      </c>
      <c r="D13" s="17" t="s">
        <v>1041</v>
      </c>
      <c r="E13" s="17" t="s">
        <v>1681</v>
      </c>
      <c r="F13" s="17" t="str">
        <f>"0,5994"</f>
        <v>0,5994</v>
      </c>
      <c r="G13" s="17" t="s">
        <v>14</v>
      </c>
      <c r="H13" s="17" t="s">
        <v>1042</v>
      </c>
      <c r="I13" s="138" t="s">
        <v>845</v>
      </c>
      <c r="J13" s="138" t="s">
        <v>846</v>
      </c>
      <c r="K13" s="138" t="s">
        <v>847</v>
      </c>
      <c r="L13" s="36"/>
      <c r="M13" s="44">
        <v>285</v>
      </c>
      <c r="N13" s="35" t="str">
        <f>"170,8290"</f>
        <v>170,8290</v>
      </c>
      <c r="O13" s="17" t="s">
        <v>51</v>
      </c>
    </row>
    <row r="14" spans="1:15" ht="12.75">
      <c r="A14" s="29">
        <v>2</v>
      </c>
      <c r="B14" s="410">
        <v>21</v>
      </c>
      <c r="C14" s="19" t="s">
        <v>4421</v>
      </c>
      <c r="D14" s="19" t="s">
        <v>1599</v>
      </c>
      <c r="E14" s="19" t="s">
        <v>1682</v>
      </c>
      <c r="F14" s="19" t="str">
        <f>"0,5978"</f>
        <v>0,5978</v>
      </c>
      <c r="G14" s="19" t="s">
        <v>161</v>
      </c>
      <c r="H14" s="19" t="s">
        <v>162</v>
      </c>
      <c r="I14" s="139" t="s">
        <v>931</v>
      </c>
      <c r="J14" s="139" t="s">
        <v>846</v>
      </c>
      <c r="K14" s="48" t="s">
        <v>1043</v>
      </c>
      <c r="L14" s="42"/>
      <c r="M14" s="43">
        <v>275</v>
      </c>
      <c r="N14" s="41" t="str">
        <f>"164,3950"</f>
        <v>164,3950</v>
      </c>
      <c r="O14" s="19" t="s">
        <v>51</v>
      </c>
    </row>
    <row r="16" spans="3:4" ht="18">
      <c r="C16" s="16" t="s">
        <v>370</v>
      </c>
      <c r="D16" s="16"/>
    </row>
    <row r="17" spans="3:4" ht="15.75">
      <c r="C17" s="22" t="s">
        <v>387</v>
      </c>
      <c r="D17" s="22"/>
    </row>
    <row r="18" spans="3:4" ht="13.5">
      <c r="C18" s="24"/>
      <c r="D18" s="25" t="s">
        <v>2102</v>
      </c>
    </row>
    <row r="19" spans="3:7" ht="13.5">
      <c r="C19" s="26" t="s">
        <v>373</v>
      </c>
      <c r="D19" s="26" t="s">
        <v>374</v>
      </c>
      <c r="E19" s="26" t="s">
        <v>375</v>
      </c>
      <c r="F19" s="26" t="s">
        <v>376</v>
      </c>
      <c r="G19" s="26" t="s">
        <v>377</v>
      </c>
    </row>
    <row r="20" spans="1:7" ht="12.75">
      <c r="A20" s="29">
        <v>1</v>
      </c>
      <c r="C20" s="89" t="s">
        <v>1040</v>
      </c>
      <c r="D20" s="49" t="s">
        <v>372</v>
      </c>
      <c r="E20" s="50" t="s">
        <v>1684</v>
      </c>
      <c r="F20" s="50" t="s">
        <v>847</v>
      </c>
      <c r="G20" s="50" t="s">
        <v>1600</v>
      </c>
    </row>
    <row r="21" spans="1:7" ht="12.75">
      <c r="A21" s="29">
        <v>2</v>
      </c>
      <c r="C21" s="89" t="s">
        <v>1598</v>
      </c>
      <c r="D21" s="49" t="s">
        <v>372</v>
      </c>
      <c r="E21" s="50" t="s">
        <v>1684</v>
      </c>
      <c r="F21" s="50" t="s">
        <v>846</v>
      </c>
      <c r="G21" s="50" t="s">
        <v>1601</v>
      </c>
    </row>
    <row r="22" spans="1:7" ht="12.75">
      <c r="A22" s="29">
        <v>3</v>
      </c>
      <c r="C22" s="89" t="s">
        <v>198</v>
      </c>
      <c r="D22" s="49" t="s">
        <v>372</v>
      </c>
      <c r="E22" s="50" t="s">
        <v>1685</v>
      </c>
      <c r="F22" s="50" t="s">
        <v>317</v>
      </c>
      <c r="G22" s="50" t="s">
        <v>1602</v>
      </c>
    </row>
  </sheetData>
  <sheetProtection/>
  <mergeCells count="16">
    <mergeCell ref="O3:O4"/>
    <mergeCell ref="C5:N5"/>
    <mergeCell ref="C9:N9"/>
    <mergeCell ref="C12:N12"/>
    <mergeCell ref="A3:A4"/>
    <mergeCell ref="B3:B4"/>
    <mergeCell ref="C1:O2"/>
    <mergeCell ref="C3:C4"/>
    <mergeCell ref="D3:D4"/>
    <mergeCell ref="E3:E4"/>
    <mergeCell ref="F3:F4"/>
    <mergeCell ref="G3:G4"/>
    <mergeCell ref="H3:H4"/>
    <mergeCell ref="I3:L3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7"/>
  <sheetViews>
    <sheetView workbookViewId="0" topLeftCell="A29">
      <selection activeCell="L49" sqref="L49"/>
    </sheetView>
  </sheetViews>
  <sheetFormatPr defaultColWidth="11.375" defaultRowHeight="12.75"/>
  <cols>
    <col min="1" max="1" width="8.125" style="0" customWidth="1"/>
    <col min="2" max="2" width="10.75390625" style="409" customWidth="1"/>
    <col min="3" max="3" width="32.75390625" style="0" customWidth="1"/>
    <col min="4" max="4" width="26.375" style="0" customWidth="1"/>
    <col min="5" max="5" width="11.375" style="0" customWidth="1"/>
    <col min="6" max="6" width="19.75390625" style="0" customWidth="1"/>
    <col min="7" max="7" width="32.75390625" style="0" customWidth="1"/>
    <col min="8" max="11" width="5.00390625" style="0" customWidth="1"/>
    <col min="12" max="12" width="11.375" style="0" customWidth="1"/>
    <col min="13" max="13" width="18.625" style="0" customWidth="1"/>
  </cols>
  <sheetData>
    <row r="1" spans="1:15" ht="57.75" customHeight="1">
      <c r="A1" s="82"/>
      <c r="B1" s="399"/>
      <c r="C1" s="509" t="s">
        <v>3056</v>
      </c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104"/>
      <c r="O1" s="49"/>
    </row>
    <row r="2" spans="1:15" ht="30" thickBot="1">
      <c r="A2" s="82"/>
      <c r="B2" s="399"/>
      <c r="C2" s="509" t="s">
        <v>2322</v>
      </c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49"/>
      <c r="O2" s="49"/>
    </row>
    <row r="3" spans="1:15" ht="24.75" customHeight="1">
      <c r="A3" s="500" t="s">
        <v>1627</v>
      </c>
      <c r="B3" s="504" t="s">
        <v>4516</v>
      </c>
      <c r="C3" s="502" t="s">
        <v>0</v>
      </c>
      <c r="D3" s="504" t="s">
        <v>2271</v>
      </c>
      <c r="E3" s="504" t="s">
        <v>1629</v>
      </c>
      <c r="F3" s="502" t="s">
        <v>7</v>
      </c>
      <c r="G3" s="520" t="s">
        <v>2273</v>
      </c>
      <c r="H3" s="522" t="s">
        <v>3</v>
      </c>
      <c r="I3" s="522"/>
      <c r="J3" s="522"/>
      <c r="K3" s="523"/>
      <c r="L3" s="524" t="s">
        <v>1672</v>
      </c>
      <c r="M3" s="506" t="s">
        <v>5</v>
      </c>
      <c r="N3" s="184"/>
      <c r="O3" s="184"/>
    </row>
    <row r="4" spans="1:15" ht="15" thickBot="1">
      <c r="A4" s="501"/>
      <c r="B4" s="505"/>
      <c r="C4" s="503"/>
      <c r="D4" s="505"/>
      <c r="E4" s="505"/>
      <c r="F4" s="503"/>
      <c r="G4" s="521"/>
      <c r="H4" s="185" t="s">
        <v>2208</v>
      </c>
      <c r="I4" s="186" t="s">
        <v>2209</v>
      </c>
      <c r="J4" s="186" t="s">
        <v>2210</v>
      </c>
      <c r="K4" s="186" t="s">
        <v>2956</v>
      </c>
      <c r="L4" s="525"/>
      <c r="M4" s="507"/>
      <c r="N4" s="184"/>
      <c r="O4" s="184"/>
    </row>
    <row r="5" spans="1:13" ht="15.75">
      <c r="A5" s="29"/>
      <c r="B5" s="410"/>
      <c r="C5" s="508" t="s">
        <v>80</v>
      </c>
      <c r="D5" s="508"/>
      <c r="E5" s="508"/>
      <c r="F5" s="508"/>
      <c r="G5" s="508"/>
      <c r="H5" s="508"/>
      <c r="I5" s="508"/>
      <c r="J5" s="508"/>
      <c r="K5" s="508"/>
      <c r="L5" s="508"/>
      <c r="M5" s="15"/>
    </row>
    <row r="6" spans="1:13" ht="12.75">
      <c r="A6" s="29">
        <v>1</v>
      </c>
      <c r="B6" s="410"/>
      <c r="C6" s="17" t="s">
        <v>3910</v>
      </c>
      <c r="D6" s="88" t="s">
        <v>2958</v>
      </c>
      <c r="E6" s="88" t="s">
        <v>2959</v>
      </c>
      <c r="F6" s="88" t="s">
        <v>31</v>
      </c>
      <c r="G6" s="88" t="s">
        <v>3171</v>
      </c>
      <c r="H6" s="231" t="s">
        <v>94</v>
      </c>
      <c r="I6" s="231" t="s">
        <v>416</v>
      </c>
      <c r="J6" s="231" t="s">
        <v>48</v>
      </c>
      <c r="K6" s="101"/>
      <c r="L6" s="167">
        <v>80</v>
      </c>
      <c r="M6" s="88" t="s">
        <v>2869</v>
      </c>
    </row>
    <row r="7" spans="1:13" ht="12.75">
      <c r="A7" s="29">
        <v>2</v>
      </c>
      <c r="B7" s="410">
        <v>21</v>
      </c>
      <c r="C7" s="18" t="s">
        <v>3911</v>
      </c>
      <c r="D7" s="93" t="s">
        <v>3057</v>
      </c>
      <c r="E7" s="93" t="s">
        <v>1744</v>
      </c>
      <c r="F7" s="93" t="s">
        <v>2104</v>
      </c>
      <c r="G7" s="93" t="s">
        <v>1182</v>
      </c>
      <c r="H7" s="232" t="s">
        <v>94</v>
      </c>
      <c r="I7" s="232" t="s">
        <v>416</v>
      </c>
      <c r="J7" s="103" t="s">
        <v>48</v>
      </c>
      <c r="K7" s="102"/>
      <c r="L7" s="212">
        <v>70</v>
      </c>
      <c r="M7" s="93" t="s">
        <v>1670</v>
      </c>
    </row>
    <row r="8" spans="1:13" ht="12.75">
      <c r="A8" s="29">
        <v>1</v>
      </c>
      <c r="B8" s="410"/>
      <c r="C8" s="19" t="s">
        <v>3910</v>
      </c>
      <c r="D8" s="95" t="s">
        <v>2961</v>
      </c>
      <c r="E8" s="95" t="s">
        <v>2959</v>
      </c>
      <c r="F8" s="95" t="s">
        <v>31</v>
      </c>
      <c r="G8" s="95" t="s">
        <v>2866</v>
      </c>
      <c r="H8" s="234" t="s">
        <v>94</v>
      </c>
      <c r="I8" s="234" t="s">
        <v>416</v>
      </c>
      <c r="J8" s="234" t="s">
        <v>48</v>
      </c>
      <c r="K8" s="109"/>
      <c r="L8" s="168">
        <v>80</v>
      </c>
      <c r="M8" s="95" t="s">
        <v>2869</v>
      </c>
    </row>
    <row r="9" spans="1:13" ht="12.75">
      <c r="A9" s="29"/>
      <c r="B9" s="410"/>
      <c r="C9" s="15"/>
      <c r="D9" s="15"/>
      <c r="E9" s="15"/>
      <c r="F9" s="15"/>
      <c r="G9" s="15"/>
      <c r="H9" s="15"/>
      <c r="I9" s="15"/>
      <c r="J9" s="15"/>
      <c r="K9" s="15"/>
      <c r="L9" s="30"/>
      <c r="M9" s="15"/>
    </row>
    <row r="10" spans="1:13" ht="15.75">
      <c r="A10" s="29"/>
      <c r="B10" s="410"/>
      <c r="C10" s="508" t="s">
        <v>42</v>
      </c>
      <c r="D10" s="508"/>
      <c r="E10" s="508"/>
      <c r="F10" s="508"/>
      <c r="G10" s="508"/>
      <c r="H10" s="508"/>
      <c r="I10" s="508"/>
      <c r="J10" s="508"/>
      <c r="K10" s="508"/>
      <c r="L10" s="508"/>
      <c r="M10" s="15"/>
    </row>
    <row r="11" spans="1:13" ht="12.75">
      <c r="A11" s="29">
        <v>1</v>
      </c>
      <c r="B11" s="410">
        <v>30</v>
      </c>
      <c r="C11" s="17" t="s">
        <v>3912</v>
      </c>
      <c r="D11" s="88" t="s">
        <v>2965</v>
      </c>
      <c r="E11" s="88" t="s">
        <v>1918</v>
      </c>
      <c r="F11" s="88" t="s">
        <v>2400</v>
      </c>
      <c r="G11" s="88" t="s">
        <v>1903</v>
      </c>
      <c r="H11" s="231" t="s">
        <v>49</v>
      </c>
      <c r="I11" s="231" t="s">
        <v>303</v>
      </c>
      <c r="J11" s="121" t="s">
        <v>88</v>
      </c>
      <c r="K11" s="101"/>
      <c r="L11" s="167">
        <v>100</v>
      </c>
      <c r="M11" s="88" t="s">
        <v>2968</v>
      </c>
    </row>
    <row r="12" spans="1:13" ht="12.75">
      <c r="A12" s="29">
        <v>2</v>
      </c>
      <c r="B12" s="410">
        <v>27</v>
      </c>
      <c r="C12" s="18" t="s">
        <v>3913</v>
      </c>
      <c r="D12" s="93" t="s">
        <v>3058</v>
      </c>
      <c r="E12" s="93" t="s">
        <v>1650</v>
      </c>
      <c r="F12" s="93" t="s">
        <v>14</v>
      </c>
      <c r="G12" s="93" t="s">
        <v>1903</v>
      </c>
      <c r="H12" s="232" t="s">
        <v>48</v>
      </c>
      <c r="I12" s="103" t="s">
        <v>49</v>
      </c>
      <c r="J12" s="232" t="s">
        <v>49</v>
      </c>
      <c r="K12" s="102"/>
      <c r="L12" s="212">
        <v>90</v>
      </c>
      <c r="M12" s="93" t="s">
        <v>1664</v>
      </c>
    </row>
    <row r="13" spans="1:13" ht="12.75">
      <c r="A13" s="29">
        <v>3</v>
      </c>
      <c r="B13" s="410">
        <v>20</v>
      </c>
      <c r="C13" s="18" t="s">
        <v>3914</v>
      </c>
      <c r="D13" s="93" t="s">
        <v>1609</v>
      </c>
      <c r="E13" s="93" t="s">
        <v>1653</v>
      </c>
      <c r="F13" s="93" t="s">
        <v>14</v>
      </c>
      <c r="G13" s="93" t="s">
        <v>1903</v>
      </c>
      <c r="H13" s="232" t="s">
        <v>48</v>
      </c>
      <c r="I13" s="103" t="s">
        <v>49</v>
      </c>
      <c r="J13" s="103" t="s">
        <v>49</v>
      </c>
      <c r="K13" s="102"/>
      <c r="L13" s="212">
        <v>80</v>
      </c>
      <c r="M13" s="93" t="s">
        <v>1664</v>
      </c>
    </row>
    <row r="14" spans="1:13" ht="12.75">
      <c r="A14" s="29">
        <v>1</v>
      </c>
      <c r="B14" s="410">
        <v>24</v>
      </c>
      <c r="C14" s="19" t="s">
        <v>3915</v>
      </c>
      <c r="D14" s="95" t="s">
        <v>3059</v>
      </c>
      <c r="E14" s="95" t="s">
        <v>3060</v>
      </c>
      <c r="F14" s="95" t="s">
        <v>2400</v>
      </c>
      <c r="G14" s="95" t="s">
        <v>1903</v>
      </c>
      <c r="H14" s="234" t="s">
        <v>48</v>
      </c>
      <c r="I14" s="112" t="s">
        <v>49</v>
      </c>
      <c r="J14" s="112" t="s">
        <v>49</v>
      </c>
      <c r="K14" s="109"/>
      <c r="L14" s="168">
        <v>80</v>
      </c>
      <c r="M14" s="95" t="s">
        <v>2968</v>
      </c>
    </row>
    <row r="15" spans="1:13" ht="12.75">
      <c r="A15" s="29"/>
      <c r="B15" s="410"/>
      <c r="C15" s="15"/>
      <c r="D15" s="15"/>
      <c r="E15" s="15"/>
      <c r="F15" s="15"/>
      <c r="G15" s="15"/>
      <c r="H15" s="15"/>
      <c r="I15" s="15"/>
      <c r="J15" s="15"/>
      <c r="K15" s="15"/>
      <c r="L15" s="30"/>
      <c r="M15" s="15"/>
    </row>
    <row r="16" spans="1:13" ht="15.75">
      <c r="A16" s="29"/>
      <c r="B16" s="410"/>
      <c r="C16" s="508" t="s">
        <v>2969</v>
      </c>
      <c r="D16" s="508"/>
      <c r="E16" s="508"/>
      <c r="F16" s="508"/>
      <c r="G16" s="508"/>
      <c r="H16" s="508"/>
      <c r="I16" s="508"/>
      <c r="J16" s="508"/>
      <c r="K16" s="508"/>
      <c r="L16" s="508"/>
      <c r="M16" s="15"/>
    </row>
    <row r="17" spans="1:13" ht="12.75">
      <c r="A17" s="29">
        <v>1</v>
      </c>
      <c r="B17" s="410">
        <v>30</v>
      </c>
      <c r="C17" s="17" t="s">
        <v>3916</v>
      </c>
      <c r="D17" s="88" t="s">
        <v>3061</v>
      </c>
      <c r="E17" s="88" t="s">
        <v>2976</v>
      </c>
      <c r="F17" s="88" t="s">
        <v>2400</v>
      </c>
      <c r="G17" s="88" t="s">
        <v>2972</v>
      </c>
      <c r="H17" s="231" t="s">
        <v>303</v>
      </c>
      <c r="I17" s="121" t="s">
        <v>471</v>
      </c>
      <c r="J17" s="121" t="s">
        <v>24</v>
      </c>
      <c r="K17" s="101"/>
      <c r="L17" s="167">
        <v>100</v>
      </c>
      <c r="M17" s="88" t="s">
        <v>2974</v>
      </c>
    </row>
    <row r="18" spans="1:13" ht="12.75">
      <c r="A18" s="29">
        <v>1</v>
      </c>
      <c r="B18" s="410">
        <v>30</v>
      </c>
      <c r="C18" s="19" t="s">
        <v>3916</v>
      </c>
      <c r="D18" s="95" t="s">
        <v>2975</v>
      </c>
      <c r="E18" s="95" t="s">
        <v>2976</v>
      </c>
      <c r="F18" s="95" t="s">
        <v>2400</v>
      </c>
      <c r="G18" s="95" t="s">
        <v>2972</v>
      </c>
      <c r="H18" s="234" t="s">
        <v>303</v>
      </c>
      <c r="I18" s="112" t="s">
        <v>471</v>
      </c>
      <c r="J18" s="112" t="s">
        <v>24</v>
      </c>
      <c r="K18" s="109"/>
      <c r="L18" s="168">
        <v>100</v>
      </c>
      <c r="M18" s="95" t="s">
        <v>2974</v>
      </c>
    </row>
    <row r="19" spans="1:13" ht="12.75">
      <c r="A19" s="29"/>
      <c r="B19" s="410"/>
      <c r="C19" s="15"/>
      <c r="D19" s="15"/>
      <c r="E19" s="15"/>
      <c r="F19" s="15"/>
      <c r="G19" s="15"/>
      <c r="H19" s="15"/>
      <c r="I19" s="15"/>
      <c r="J19" s="15"/>
      <c r="K19" s="15"/>
      <c r="L19" s="30"/>
      <c r="M19" s="15"/>
    </row>
    <row r="20" spans="1:13" ht="15.75">
      <c r="A20" s="29"/>
      <c r="B20" s="410"/>
      <c r="C20" s="508" t="s">
        <v>3062</v>
      </c>
      <c r="D20" s="508"/>
      <c r="E20" s="508"/>
      <c r="F20" s="508"/>
      <c r="G20" s="508"/>
      <c r="H20" s="508"/>
      <c r="I20" s="508"/>
      <c r="J20" s="508"/>
      <c r="K20" s="508"/>
      <c r="L20" s="508"/>
      <c r="M20" s="15"/>
    </row>
    <row r="21" spans="1:13" ht="12.75">
      <c r="A21" s="29">
        <v>1</v>
      </c>
      <c r="B21" s="410">
        <v>24</v>
      </c>
      <c r="C21" s="17" t="s">
        <v>3955</v>
      </c>
      <c r="D21" s="88" t="s">
        <v>3064</v>
      </c>
      <c r="E21" s="88" t="s">
        <v>1778</v>
      </c>
      <c r="F21" s="88" t="s">
        <v>2400</v>
      </c>
      <c r="G21" s="88" t="s">
        <v>1903</v>
      </c>
      <c r="H21" s="231" t="s">
        <v>25</v>
      </c>
      <c r="I21" s="231" t="s">
        <v>89</v>
      </c>
      <c r="J21" s="121" t="s">
        <v>551</v>
      </c>
      <c r="K21" s="101"/>
      <c r="L21" s="167">
        <v>130</v>
      </c>
      <c r="M21" s="88" t="s">
        <v>2968</v>
      </c>
    </row>
    <row r="22" spans="1:13" ht="12.75">
      <c r="A22" s="29">
        <v>1</v>
      </c>
      <c r="B22" s="410"/>
      <c r="C22" s="19" t="s">
        <v>4113</v>
      </c>
      <c r="D22" s="95" t="s">
        <v>3065</v>
      </c>
      <c r="E22" s="95" t="s">
        <v>3066</v>
      </c>
      <c r="F22" s="95" t="s">
        <v>31</v>
      </c>
      <c r="G22" s="95" t="s">
        <v>2409</v>
      </c>
      <c r="H22" s="235" t="s">
        <v>303</v>
      </c>
      <c r="I22" s="234" t="s">
        <v>89</v>
      </c>
      <c r="J22" s="112" t="s">
        <v>480</v>
      </c>
      <c r="K22" s="109"/>
      <c r="L22" s="168">
        <v>130</v>
      </c>
      <c r="M22" s="95" t="s">
        <v>2365</v>
      </c>
    </row>
    <row r="23" spans="1:13" ht="12.75">
      <c r="A23" s="29"/>
      <c r="B23" s="410"/>
      <c r="C23" s="15"/>
      <c r="D23" s="15"/>
      <c r="E23" s="15"/>
      <c r="F23" s="15"/>
      <c r="G23" s="15"/>
      <c r="H23" s="15"/>
      <c r="I23" s="15"/>
      <c r="J23" s="15"/>
      <c r="K23" s="15"/>
      <c r="L23" s="30"/>
      <c r="M23" s="15"/>
    </row>
    <row r="24" spans="1:13" ht="15.75">
      <c r="A24" s="29"/>
      <c r="B24" s="410"/>
      <c r="C24" s="508" t="s">
        <v>2977</v>
      </c>
      <c r="D24" s="508"/>
      <c r="E24" s="508"/>
      <c r="F24" s="508"/>
      <c r="G24" s="508"/>
      <c r="H24" s="508"/>
      <c r="I24" s="508"/>
      <c r="J24" s="508"/>
      <c r="K24" s="508"/>
      <c r="L24" s="508"/>
      <c r="M24" s="15"/>
    </row>
    <row r="25" spans="1:13" ht="12.75">
      <c r="A25" s="29">
        <v>1</v>
      </c>
      <c r="B25" s="410"/>
      <c r="C25" s="17" t="s">
        <v>3893</v>
      </c>
      <c r="D25" s="88" t="s">
        <v>2978</v>
      </c>
      <c r="E25" s="88" t="s">
        <v>2979</v>
      </c>
      <c r="F25" s="88" t="s">
        <v>31</v>
      </c>
      <c r="G25" s="88" t="s">
        <v>2980</v>
      </c>
      <c r="H25" s="231" t="s">
        <v>63</v>
      </c>
      <c r="I25" s="231" t="s">
        <v>77</v>
      </c>
      <c r="J25" s="231" t="s">
        <v>268</v>
      </c>
      <c r="K25" s="101"/>
      <c r="L25" s="167">
        <v>167.5</v>
      </c>
      <c r="M25" s="88" t="s">
        <v>3067</v>
      </c>
    </row>
    <row r="26" spans="1:13" ht="12.75">
      <c r="A26" s="29">
        <v>2</v>
      </c>
      <c r="B26" s="410">
        <v>21</v>
      </c>
      <c r="C26" s="18" t="s">
        <v>3917</v>
      </c>
      <c r="D26" s="93" t="s">
        <v>3068</v>
      </c>
      <c r="E26" s="93" t="s">
        <v>3069</v>
      </c>
      <c r="F26" s="93" t="s">
        <v>2293</v>
      </c>
      <c r="G26" s="93" t="s">
        <v>196</v>
      </c>
      <c r="H26" s="232" t="s">
        <v>480</v>
      </c>
      <c r="I26" s="103" t="s">
        <v>132</v>
      </c>
      <c r="J26" s="103" t="s">
        <v>132</v>
      </c>
      <c r="K26" s="102"/>
      <c r="L26" s="212">
        <v>140</v>
      </c>
      <c r="M26" s="93" t="s">
        <v>3014</v>
      </c>
    </row>
    <row r="27" spans="1:13" ht="12.75">
      <c r="A27" s="29">
        <v>3</v>
      </c>
      <c r="B27" s="410">
        <v>8</v>
      </c>
      <c r="C27" s="18" t="s">
        <v>3918</v>
      </c>
      <c r="D27" s="93" t="s">
        <v>3070</v>
      </c>
      <c r="E27" s="93" t="s">
        <v>1658</v>
      </c>
      <c r="F27" s="93" t="s">
        <v>2865</v>
      </c>
      <c r="G27" s="93" t="s">
        <v>2866</v>
      </c>
      <c r="H27" s="232" t="s">
        <v>89</v>
      </c>
      <c r="I27" s="103" t="s">
        <v>480</v>
      </c>
      <c r="J27" s="103" t="s">
        <v>480</v>
      </c>
      <c r="K27" s="102"/>
      <c r="L27" s="212">
        <v>130</v>
      </c>
      <c r="M27" s="93" t="s">
        <v>2869</v>
      </c>
    </row>
    <row r="28" spans="1:13" ht="12.75">
      <c r="A28" s="29">
        <v>4</v>
      </c>
      <c r="B28" s="410">
        <v>7</v>
      </c>
      <c r="C28" s="18" t="s">
        <v>3919</v>
      </c>
      <c r="D28" s="93" t="s">
        <v>3071</v>
      </c>
      <c r="E28" s="93" t="s">
        <v>2805</v>
      </c>
      <c r="F28" s="93" t="s">
        <v>2104</v>
      </c>
      <c r="G28" s="93" t="s">
        <v>603</v>
      </c>
      <c r="H28" s="232" t="s">
        <v>88</v>
      </c>
      <c r="I28" s="103" t="s">
        <v>447</v>
      </c>
      <c r="J28" s="232" t="s">
        <v>447</v>
      </c>
      <c r="K28" s="102"/>
      <c r="L28" s="212">
        <v>125</v>
      </c>
      <c r="M28" s="93" t="s">
        <v>51</v>
      </c>
    </row>
    <row r="29" spans="1:13" ht="12.75">
      <c r="A29" s="29">
        <v>1</v>
      </c>
      <c r="B29" s="410"/>
      <c r="C29" s="18" t="s">
        <v>3920</v>
      </c>
      <c r="D29" s="93" t="s">
        <v>2986</v>
      </c>
      <c r="E29" s="93" t="s">
        <v>2987</v>
      </c>
      <c r="F29" s="93" t="s">
        <v>31</v>
      </c>
      <c r="G29" s="93" t="s">
        <v>859</v>
      </c>
      <c r="H29" s="232" t="s">
        <v>132</v>
      </c>
      <c r="I29" s="232" t="s">
        <v>183</v>
      </c>
      <c r="J29" s="232" t="s">
        <v>153</v>
      </c>
      <c r="K29" s="232" t="s">
        <v>127</v>
      </c>
      <c r="L29" s="212">
        <v>170</v>
      </c>
      <c r="M29" s="93" t="s">
        <v>51</v>
      </c>
    </row>
    <row r="30" spans="1:13" ht="12.75">
      <c r="A30" s="29">
        <v>2</v>
      </c>
      <c r="B30" s="410"/>
      <c r="C30" s="18" t="s">
        <v>3921</v>
      </c>
      <c r="D30" s="93" t="s">
        <v>3072</v>
      </c>
      <c r="E30" s="93" t="s">
        <v>1772</v>
      </c>
      <c r="F30" s="93" t="s">
        <v>31</v>
      </c>
      <c r="G30" s="93" t="s">
        <v>1903</v>
      </c>
      <c r="H30" s="232" t="s">
        <v>63</v>
      </c>
      <c r="I30" s="232" t="s">
        <v>183</v>
      </c>
      <c r="J30" s="232" t="s">
        <v>153</v>
      </c>
      <c r="K30" s="103" t="s">
        <v>555</v>
      </c>
      <c r="L30" s="212">
        <v>170</v>
      </c>
      <c r="M30" s="93" t="s">
        <v>51</v>
      </c>
    </row>
    <row r="31" spans="1:13" ht="12.75">
      <c r="A31" s="29">
        <v>3</v>
      </c>
      <c r="B31" s="410"/>
      <c r="C31" s="18" t="s">
        <v>3893</v>
      </c>
      <c r="D31" s="93" t="s">
        <v>2984</v>
      </c>
      <c r="E31" s="93" t="s">
        <v>2979</v>
      </c>
      <c r="F31" s="93" t="s">
        <v>31</v>
      </c>
      <c r="G31" s="93" t="s">
        <v>2980</v>
      </c>
      <c r="H31" s="232" t="s">
        <v>63</v>
      </c>
      <c r="I31" s="232" t="s">
        <v>77</v>
      </c>
      <c r="J31" s="232" t="s">
        <v>268</v>
      </c>
      <c r="K31" s="103" t="s">
        <v>153</v>
      </c>
      <c r="L31" s="212">
        <v>167.5</v>
      </c>
      <c r="M31" s="93" t="s">
        <v>3067</v>
      </c>
    </row>
    <row r="32" spans="1:13" ht="12.75">
      <c r="A32" s="29">
        <v>4</v>
      </c>
      <c r="B32" s="410">
        <v>25</v>
      </c>
      <c r="C32" s="18" t="s">
        <v>3922</v>
      </c>
      <c r="D32" s="93" t="s">
        <v>3073</v>
      </c>
      <c r="E32" s="93" t="s">
        <v>1772</v>
      </c>
      <c r="F32" s="93" t="s">
        <v>2293</v>
      </c>
      <c r="G32" s="93" t="s">
        <v>201</v>
      </c>
      <c r="H32" s="232" t="s">
        <v>132</v>
      </c>
      <c r="I32" s="232" t="s">
        <v>63</v>
      </c>
      <c r="J32" s="103" t="s">
        <v>183</v>
      </c>
      <c r="K32" s="102"/>
      <c r="L32" s="212">
        <v>155</v>
      </c>
      <c r="M32" s="93" t="s">
        <v>3074</v>
      </c>
    </row>
    <row r="33" spans="1:13" ht="12.75">
      <c r="A33" s="29">
        <v>5</v>
      </c>
      <c r="B33" s="410">
        <v>18</v>
      </c>
      <c r="C33" s="19" t="s">
        <v>3923</v>
      </c>
      <c r="D33" s="95" t="s">
        <v>2989</v>
      </c>
      <c r="E33" s="95" t="s">
        <v>1783</v>
      </c>
      <c r="F33" s="95" t="s">
        <v>2865</v>
      </c>
      <c r="G33" s="95" t="s">
        <v>2866</v>
      </c>
      <c r="H33" s="234" t="s">
        <v>89</v>
      </c>
      <c r="I33" s="234" t="s">
        <v>480</v>
      </c>
      <c r="J33" s="112" t="s">
        <v>132</v>
      </c>
      <c r="K33" s="109"/>
      <c r="L33" s="168">
        <v>140</v>
      </c>
      <c r="M33" s="95" t="s">
        <v>51</v>
      </c>
    </row>
    <row r="34" spans="1:13" ht="12.75">
      <c r="A34" s="29"/>
      <c r="B34" s="410"/>
      <c r="C34" s="15"/>
      <c r="D34" s="15"/>
      <c r="E34" s="15"/>
      <c r="F34" s="15"/>
      <c r="G34" s="15"/>
      <c r="H34" s="15"/>
      <c r="I34" s="15"/>
      <c r="J34" s="15"/>
      <c r="K34" s="15"/>
      <c r="L34" s="30"/>
      <c r="M34" s="15"/>
    </row>
    <row r="35" spans="1:13" ht="15.75">
      <c r="A35" s="29"/>
      <c r="B35" s="410"/>
      <c r="C35" s="526" t="s">
        <v>59</v>
      </c>
      <c r="D35" s="526"/>
      <c r="E35" s="526"/>
      <c r="F35" s="526"/>
      <c r="G35" s="526"/>
      <c r="H35" s="526"/>
      <c r="I35" s="526"/>
      <c r="J35" s="526"/>
      <c r="K35" s="526"/>
      <c r="L35" s="526"/>
      <c r="M35" s="15"/>
    </row>
    <row r="36" spans="1:13" ht="12.75">
      <c r="A36" s="29">
        <v>1</v>
      </c>
      <c r="B36" s="410"/>
      <c r="C36" s="83" t="s">
        <v>3897</v>
      </c>
      <c r="D36" s="17" t="s">
        <v>2996</v>
      </c>
      <c r="E36" s="84" t="s">
        <v>1793</v>
      </c>
      <c r="F36" s="17" t="s">
        <v>31</v>
      </c>
      <c r="G36" s="84" t="s">
        <v>1573</v>
      </c>
      <c r="H36" s="219" t="s">
        <v>64</v>
      </c>
      <c r="I36" s="241" t="s">
        <v>153</v>
      </c>
      <c r="J36" s="46" t="s">
        <v>126</v>
      </c>
      <c r="K36" s="86"/>
      <c r="L36" s="44">
        <v>170</v>
      </c>
      <c r="M36" s="88" t="s">
        <v>51</v>
      </c>
    </row>
    <row r="37" spans="1:13" ht="12.75">
      <c r="A37" s="29">
        <v>2</v>
      </c>
      <c r="B37" s="410">
        <v>27</v>
      </c>
      <c r="C37" s="92" t="s">
        <v>3924</v>
      </c>
      <c r="D37" s="18" t="s">
        <v>2998</v>
      </c>
      <c r="E37" s="79" t="s">
        <v>1745</v>
      </c>
      <c r="F37" s="18" t="s">
        <v>2865</v>
      </c>
      <c r="G37" s="79" t="s">
        <v>2866</v>
      </c>
      <c r="H37" s="140" t="s">
        <v>64</v>
      </c>
      <c r="I37" s="239" t="s">
        <v>153</v>
      </c>
      <c r="J37" s="47" t="s">
        <v>126</v>
      </c>
      <c r="K37" s="81"/>
      <c r="L37" s="40">
        <v>170</v>
      </c>
      <c r="M37" s="93" t="s">
        <v>2869</v>
      </c>
    </row>
    <row r="38" spans="1:13" ht="12.75">
      <c r="A38" s="29">
        <v>3</v>
      </c>
      <c r="B38" s="410">
        <v>26</v>
      </c>
      <c r="C38" s="92" t="s">
        <v>3925</v>
      </c>
      <c r="D38" s="18" t="s">
        <v>2992</v>
      </c>
      <c r="E38" s="79" t="s">
        <v>2993</v>
      </c>
      <c r="F38" s="18" t="s">
        <v>2400</v>
      </c>
      <c r="G38" s="79" t="s">
        <v>1641</v>
      </c>
      <c r="H38" s="248" t="s">
        <v>88</v>
      </c>
      <c r="I38" s="239" t="s">
        <v>132</v>
      </c>
      <c r="J38" s="248" t="s">
        <v>64</v>
      </c>
      <c r="K38" s="81"/>
      <c r="L38" s="40">
        <v>160</v>
      </c>
      <c r="M38" s="93" t="s">
        <v>2968</v>
      </c>
    </row>
    <row r="39" spans="1:13" ht="12.75">
      <c r="A39" s="29">
        <v>4</v>
      </c>
      <c r="B39" s="410">
        <v>19</v>
      </c>
      <c r="C39" s="92" t="s">
        <v>3926</v>
      </c>
      <c r="D39" s="18" t="s">
        <v>3075</v>
      </c>
      <c r="E39" s="79" t="s">
        <v>2398</v>
      </c>
      <c r="F39" s="18" t="s">
        <v>2400</v>
      </c>
      <c r="G39" s="79" t="s">
        <v>2249</v>
      </c>
      <c r="H39" s="140" t="s">
        <v>480</v>
      </c>
      <c r="I39" s="239" t="s">
        <v>132</v>
      </c>
      <c r="J39" s="47" t="s">
        <v>64</v>
      </c>
      <c r="K39" s="81"/>
      <c r="L39" s="40">
        <v>150</v>
      </c>
      <c r="M39" s="93" t="s">
        <v>1837</v>
      </c>
    </row>
    <row r="40" spans="1:13" ht="12.75">
      <c r="A40" s="29">
        <v>5</v>
      </c>
      <c r="B40" s="410">
        <v>6</v>
      </c>
      <c r="C40" s="92" t="s">
        <v>3927</v>
      </c>
      <c r="D40" s="18" t="s">
        <v>3076</v>
      </c>
      <c r="E40" s="79" t="s">
        <v>1659</v>
      </c>
      <c r="F40" s="18" t="s">
        <v>2865</v>
      </c>
      <c r="G40" s="79" t="s">
        <v>2866</v>
      </c>
      <c r="H40" s="248" t="s">
        <v>25</v>
      </c>
      <c r="I40" s="80" t="s">
        <v>89</v>
      </c>
      <c r="J40" s="47" t="s">
        <v>89</v>
      </c>
      <c r="K40" s="81"/>
      <c r="L40" s="40">
        <v>110</v>
      </c>
      <c r="M40" s="93" t="s">
        <v>2869</v>
      </c>
    </row>
    <row r="41" spans="1:13" ht="12.75">
      <c r="A41" s="29">
        <v>1</v>
      </c>
      <c r="B41" s="410"/>
      <c r="C41" s="92" t="s">
        <v>3928</v>
      </c>
      <c r="D41" s="18" t="s">
        <v>3078</v>
      </c>
      <c r="E41" s="79" t="s">
        <v>1982</v>
      </c>
      <c r="F41" s="18" t="s">
        <v>31</v>
      </c>
      <c r="G41" s="79" t="s">
        <v>1903</v>
      </c>
      <c r="H41" s="140" t="s">
        <v>64</v>
      </c>
      <c r="I41" s="239" t="s">
        <v>108</v>
      </c>
      <c r="J41" s="248" t="s">
        <v>190</v>
      </c>
      <c r="K41" s="80" t="s">
        <v>121</v>
      </c>
      <c r="L41" s="40">
        <v>200</v>
      </c>
      <c r="M41" s="93" t="s">
        <v>51</v>
      </c>
    </row>
    <row r="42" spans="1:13" ht="12.75">
      <c r="A42" s="29">
        <v>2</v>
      </c>
      <c r="B42" s="410">
        <v>27</v>
      </c>
      <c r="C42" s="92" t="s">
        <v>3924</v>
      </c>
      <c r="D42" s="18" t="s">
        <v>3002</v>
      </c>
      <c r="E42" s="79" t="s">
        <v>32</v>
      </c>
      <c r="F42" s="18" t="s">
        <v>2865</v>
      </c>
      <c r="G42" s="79" t="s">
        <v>2866</v>
      </c>
      <c r="H42" s="248" t="s">
        <v>64</v>
      </c>
      <c r="I42" s="239" t="s">
        <v>153</v>
      </c>
      <c r="J42" s="47" t="s">
        <v>126</v>
      </c>
      <c r="K42" s="81"/>
      <c r="L42" s="40">
        <v>170</v>
      </c>
      <c r="M42" s="93" t="s">
        <v>2869</v>
      </c>
    </row>
    <row r="43" spans="1:13" ht="12.75">
      <c r="A43" s="29">
        <v>3</v>
      </c>
      <c r="B43" s="410"/>
      <c r="C43" s="92" t="s">
        <v>3929</v>
      </c>
      <c r="D43" s="18" t="s">
        <v>3079</v>
      </c>
      <c r="E43" s="79" t="s">
        <v>1790</v>
      </c>
      <c r="F43" s="18" t="s">
        <v>31</v>
      </c>
      <c r="G43" s="79" t="s">
        <v>2249</v>
      </c>
      <c r="H43" s="140" t="s">
        <v>480</v>
      </c>
      <c r="I43" s="239" t="s">
        <v>132</v>
      </c>
      <c r="J43" s="47" t="s">
        <v>64</v>
      </c>
      <c r="K43" s="81"/>
      <c r="L43" s="40">
        <v>150</v>
      </c>
      <c r="M43" s="93" t="s">
        <v>1837</v>
      </c>
    </row>
    <row r="44" spans="1:13" ht="12.75">
      <c r="A44" s="29">
        <v>4</v>
      </c>
      <c r="B44" s="410">
        <v>7</v>
      </c>
      <c r="C44" s="92" t="s">
        <v>3930</v>
      </c>
      <c r="D44" s="18" t="s">
        <v>3080</v>
      </c>
      <c r="E44" s="79" t="s">
        <v>3081</v>
      </c>
      <c r="F44" s="18" t="s">
        <v>2400</v>
      </c>
      <c r="G44" s="79" t="s">
        <v>1903</v>
      </c>
      <c r="H44" s="140" t="s">
        <v>89</v>
      </c>
      <c r="I44" s="80" t="s">
        <v>132</v>
      </c>
      <c r="J44" s="47" t="s">
        <v>132</v>
      </c>
      <c r="K44" s="81"/>
      <c r="L44" s="40">
        <v>130</v>
      </c>
      <c r="M44" s="93" t="s">
        <v>3082</v>
      </c>
    </row>
    <row r="45" spans="1:13" ht="12.75">
      <c r="A45" s="29">
        <v>1</v>
      </c>
      <c r="B45" s="410">
        <v>36</v>
      </c>
      <c r="C45" s="92" t="s">
        <v>3931</v>
      </c>
      <c r="D45" s="18" t="s">
        <v>3003</v>
      </c>
      <c r="E45" s="79" t="s">
        <v>2660</v>
      </c>
      <c r="F45" s="18" t="s">
        <v>2293</v>
      </c>
      <c r="G45" s="79" t="s">
        <v>201</v>
      </c>
      <c r="H45" s="248" t="s">
        <v>64</v>
      </c>
      <c r="I45" s="239" t="s">
        <v>153</v>
      </c>
      <c r="J45" s="248" t="s">
        <v>127</v>
      </c>
      <c r="K45" s="81"/>
      <c r="L45" s="40">
        <v>180</v>
      </c>
      <c r="M45" s="93" t="s">
        <v>51</v>
      </c>
    </row>
    <row r="46" spans="1:13" ht="12.75">
      <c r="A46" s="29">
        <v>2</v>
      </c>
      <c r="B46" s="410"/>
      <c r="C46" s="92" t="s">
        <v>3932</v>
      </c>
      <c r="D46" s="18" t="s">
        <v>3004</v>
      </c>
      <c r="E46" s="79" t="s">
        <v>2987</v>
      </c>
      <c r="F46" s="18" t="s">
        <v>31</v>
      </c>
      <c r="G46" s="79" t="s">
        <v>859</v>
      </c>
      <c r="H46" s="248" t="s">
        <v>132</v>
      </c>
      <c r="I46" s="239" t="s">
        <v>183</v>
      </c>
      <c r="J46" s="248" t="s">
        <v>153</v>
      </c>
      <c r="K46" s="232" t="s">
        <v>127</v>
      </c>
      <c r="L46" s="40">
        <v>170</v>
      </c>
      <c r="M46" s="93" t="s">
        <v>51</v>
      </c>
    </row>
    <row r="47" spans="1:13" ht="12.75">
      <c r="A47" s="29">
        <v>3</v>
      </c>
      <c r="B47" s="410">
        <v>20</v>
      </c>
      <c r="C47" s="92" t="s">
        <v>3933</v>
      </c>
      <c r="D47" s="18" t="s">
        <v>3007</v>
      </c>
      <c r="E47" s="79" t="s">
        <v>1901</v>
      </c>
      <c r="F47" s="18" t="s">
        <v>125</v>
      </c>
      <c r="G47" s="79" t="s">
        <v>119</v>
      </c>
      <c r="H47" s="248" t="s">
        <v>480</v>
      </c>
      <c r="I47" s="239" t="s">
        <v>132</v>
      </c>
      <c r="J47" s="47" t="s">
        <v>64</v>
      </c>
      <c r="K47" s="81"/>
      <c r="L47" s="40">
        <v>150</v>
      </c>
      <c r="M47" s="93" t="s">
        <v>3008</v>
      </c>
    </row>
    <row r="48" spans="1:13" ht="12.75">
      <c r="A48" s="29">
        <v>4</v>
      </c>
      <c r="B48" s="410"/>
      <c r="C48" s="92" t="s">
        <v>3872</v>
      </c>
      <c r="D48" s="18" t="s">
        <v>3083</v>
      </c>
      <c r="E48" s="79" t="s">
        <v>1898</v>
      </c>
      <c r="F48" s="18" t="s">
        <v>31</v>
      </c>
      <c r="G48" s="79" t="s">
        <v>2409</v>
      </c>
      <c r="H48" s="140" t="s">
        <v>88</v>
      </c>
      <c r="I48" s="239" t="s">
        <v>89</v>
      </c>
      <c r="J48" s="248" t="s">
        <v>131</v>
      </c>
      <c r="K48" s="81"/>
      <c r="L48" s="40">
        <v>145</v>
      </c>
      <c r="M48" s="93" t="s">
        <v>1674</v>
      </c>
    </row>
    <row r="49" spans="1:13" ht="12.75">
      <c r="A49" s="29">
        <v>5</v>
      </c>
      <c r="B49" s="410">
        <v>6</v>
      </c>
      <c r="C49" s="94" t="s">
        <v>3084</v>
      </c>
      <c r="D49" s="19" t="s">
        <v>3085</v>
      </c>
      <c r="E49" s="98" t="s">
        <v>3086</v>
      </c>
      <c r="F49" s="19" t="s">
        <v>2104</v>
      </c>
      <c r="G49" s="98" t="s">
        <v>3087</v>
      </c>
      <c r="H49" s="249" t="s">
        <v>49</v>
      </c>
      <c r="I49" s="153" t="s">
        <v>303</v>
      </c>
      <c r="J49" s="48" t="s">
        <v>303</v>
      </c>
      <c r="K49" s="99"/>
      <c r="L49" s="43">
        <v>90</v>
      </c>
      <c r="M49" s="95" t="s">
        <v>51</v>
      </c>
    </row>
    <row r="50" spans="1:13" ht="12.75">
      <c r="A50" s="29"/>
      <c r="B50" s="410"/>
      <c r="C50" s="15"/>
      <c r="D50" s="15"/>
      <c r="E50" s="15"/>
      <c r="F50" s="15"/>
      <c r="G50" s="15"/>
      <c r="H50" s="15"/>
      <c r="I50" s="15"/>
      <c r="J50" s="15"/>
      <c r="K50" s="15"/>
      <c r="L50" s="30"/>
      <c r="M50" s="15"/>
    </row>
    <row r="51" spans="1:13" ht="15.75">
      <c r="A51" s="29"/>
      <c r="B51" s="410"/>
      <c r="C51" s="508" t="s">
        <v>164</v>
      </c>
      <c r="D51" s="508"/>
      <c r="E51" s="508"/>
      <c r="F51" s="508"/>
      <c r="G51" s="508"/>
      <c r="H51" s="508"/>
      <c r="I51" s="508"/>
      <c r="J51" s="508"/>
      <c r="K51" s="508"/>
      <c r="L51" s="508"/>
      <c r="M51" s="15"/>
    </row>
    <row r="52" spans="1:13" ht="12.75">
      <c r="A52" s="29">
        <v>1</v>
      </c>
      <c r="B52" s="410">
        <v>30</v>
      </c>
      <c r="C52" s="17" t="s">
        <v>3934</v>
      </c>
      <c r="D52" s="88" t="s">
        <v>3012</v>
      </c>
      <c r="E52" s="88" t="s">
        <v>3013</v>
      </c>
      <c r="F52" s="88" t="s">
        <v>2293</v>
      </c>
      <c r="G52" s="88" t="s">
        <v>196</v>
      </c>
      <c r="H52" s="231" t="s">
        <v>126</v>
      </c>
      <c r="I52" s="231" t="s">
        <v>350</v>
      </c>
      <c r="J52" s="121" t="s">
        <v>120</v>
      </c>
      <c r="K52" s="101"/>
      <c r="L52" s="167">
        <v>182.5</v>
      </c>
      <c r="M52" s="88" t="s">
        <v>3014</v>
      </c>
    </row>
    <row r="53" spans="1:13" ht="12.75">
      <c r="A53" s="29">
        <v>2</v>
      </c>
      <c r="B53" s="410"/>
      <c r="C53" s="18" t="s">
        <v>3935</v>
      </c>
      <c r="D53" s="93" t="s">
        <v>3016</v>
      </c>
      <c r="E53" s="93" t="s">
        <v>3017</v>
      </c>
      <c r="F53" s="93" t="s">
        <v>31</v>
      </c>
      <c r="G53" s="93" t="s">
        <v>3018</v>
      </c>
      <c r="H53" s="103" t="s">
        <v>132</v>
      </c>
      <c r="I53" s="232" t="s">
        <v>63</v>
      </c>
      <c r="J53" s="232" t="s">
        <v>183</v>
      </c>
      <c r="K53" s="102"/>
      <c r="L53" s="212">
        <v>165</v>
      </c>
      <c r="M53" s="93" t="s">
        <v>51</v>
      </c>
    </row>
    <row r="54" spans="1:13" ht="12.75">
      <c r="A54" s="29">
        <v>3</v>
      </c>
      <c r="B54" s="410"/>
      <c r="C54" s="18" t="s">
        <v>3936</v>
      </c>
      <c r="D54" s="93" t="s">
        <v>3088</v>
      </c>
      <c r="E54" s="93" t="s">
        <v>3089</v>
      </c>
      <c r="F54" s="93" t="s">
        <v>31</v>
      </c>
      <c r="G54" s="93" t="s">
        <v>1641</v>
      </c>
      <c r="H54" s="232" t="s">
        <v>480</v>
      </c>
      <c r="I54" s="232" t="s">
        <v>132</v>
      </c>
      <c r="J54" s="232" t="s">
        <v>64</v>
      </c>
      <c r="K54" s="102"/>
      <c r="L54" s="212">
        <v>160</v>
      </c>
      <c r="M54" s="93" t="s">
        <v>2031</v>
      </c>
    </row>
    <row r="55" spans="1:13" ht="12.75">
      <c r="A55" s="29">
        <v>4</v>
      </c>
      <c r="B55" s="410"/>
      <c r="C55" s="19" t="s">
        <v>3937</v>
      </c>
      <c r="D55" s="95" t="s">
        <v>3091</v>
      </c>
      <c r="E55" s="95" t="s">
        <v>2565</v>
      </c>
      <c r="F55" s="95" t="s">
        <v>31</v>
      </c>
      <c r="G55" s="95" t="s">
        <v>2980</v>
      </c>
      <c r="H55" s="234" t="s">
        <v>131</v>
      </c>
      <c r="I55" s="234" t="s">
        <v>63</v>
      </c>
      <c r="J55" s="112" t="s">
        <v>64</v>
      </c>
      <c r="K55" s="109"/>
      <c r="L55" s="168">
        <v>155</v>
      </c>
      <c r="M55" s="95" t="s">
        <v>3067</v>
      </c>
    </row>
    <row r="56" spans="1:13" ht="12.75">
      <c r="A56" s="29"/>
      <c r="B56" s="410"/>
      <c r="C56" s="15"/>
      <c r="D56" s="15"/>
      <c r="E56" s="15"/>
      <c r="F56" s="15"/>
      <c r="G56" s="15"/>
      <c r="H56" s="15"/>
      <c r="I56" s="15"/>
      <c r="J56" s="15"/>
      <c r="K56" s="15"/>
      <c r="L56" s="30"/>
      <c r="M56" s="15"/>
    </row>
    <row r="57" spans="1:13" ht="15.75">
      <c r="A57" s="29"/>
      <c r="B57" s="410"/>
      <c r="C57" s="508" t="s">
        <v>227</v>
      </c>
      <c r="D57" s="508"/>
      <c r="E57" s="508"/>
      <c r="F57" s="508"/>
      <c r="G57" s="508"/>
      <c r="H57" s="508"/>
      <c r="I57" s="508"/>
      <c r="J57" s="508"/>
      <c r="K57" s="508"/>
      <c r="L57" s="508"/>
      <c r="M57" s="15"/>
    </row>
    <row r="58" spans="1:13" ht="12.75">
      <c r="A58" s="29">
        <v>1</v>
      </c>
      <c r="B58" s="410">
        <v>36</v>
      </c>
      <c r="C58" s="17" t="s">
        <v>3938</v>
      </c>
      <c r="D58" s="88" t="s">
        <v>3020</v>
      </c>
      <c r="E58" s="88" t="s">
        <v>3021</v>
      </c>
      <c r="F58" s="88" t="s">
        <v>2293</v>
      </c>
      <c r="G58" s="88" t="s">
        <v>196</v>
      </c>
      <c r="H58" s="231" t="s">
        <v>108</v>
      </c>
      <c r="I58" s="231" t="s">
        <v>121</v>
      </c>
      <c r="J58" s="121" t="s">
        <v>202</v>
      </c>
      <c r="K58" s="101"/>
      <c r="L58" s="167">
        <v>205</v>
      </c>
      <c r="M58" s="88" t="s">
        <v>3014</v>
      </c>
    </row>
    <row r="59" spans="1:13" ht="12.75">
      <c r="A59" s="29">
        <v>2</v>
      </c>
      <c r="B59" s="410">
        <v>27</v>
      </c>
      <c r="C59" s="18" t="s">
        <v>3939</v>
      </c>
      <c r="D59" s="93" t="s">
        <v>3092</v>
      </c>
      <c r="E59" s="93" t="s">
        <v>3034</v>
      </c>
      <c r="F59" s="93" t="s">
        <v>2400</v>
      </c>
      <c r="G59" s="93" t="s">
        <v>1903</v>
      </c>
      <c r="H59" s="232" t="s">
        <v>183</v>
      </c>
      <c r="I59" s="232" t="s">
        <v>127</v>
      </c>
      <c r="J59" s="232" t="s">
        <v>108</v>
      </c>
      <c r="K59" s="103" t="s">
        <v>190</v>
      </c>
      <c r="L59" s="212">
        <v>190</v>
      </c>
      <c r="M59" s="93" t="s">
        <v>2968</v>
      </c>
    </row>
    <row r="60" spans="1:13" ht="12.75">
      <c r="A60" s="29">
        <v>3</v>
      </c>
      <c r="B60" s="410"/>
      <c r="C60" s="18" t="s">
        <v>3940</v>
      </c>
      <c r="D60" s="93" t="s">
        <v>3094</v>
      </c>
      <c r="E60" s="93" t="s">
        <v>3095</v>
      </c>
      <c r="F60" s="93" t="s">
        <v>31</v>
      </c>
      <c r="G60" s="93" t="s">
        <v>2409</v>
      </c>
      <c r="H60" s="232" t="s">
        <v>64</v>
      </c>
      <c r="I60" s="103" t="s">
        <v>153</v>
      </c>
      <c r="J60" s="232" t="s">
        <v>153</v>
      </c>
      <c r="K60" s="103" t="s">
        <v>127</v>
      </c>
      <c r="L60" s="212">
        <v>170</v>
      </c>
      <c r="M60" s="93" t="s">
        <v>51</v>
      </c>
    </row>
    <row r="61" spans="1:13" ht="12.75">
      <c r="A61" s="29">
        <v>4</v>
      </c>
      <c r="B61" s="410">
        <v>7</v>
      </c>
      <c r="C61" s="18" t="s">
        <v>3941</v>
      </c>
      <c r="D61" s="93" t="s">
        <v>3096</v>
      </c>
      <c r="E61" s="93" t="s">
        <v>3097</v>
      </c>
      <c r="F61" s="93" t="s">
        <v>2400</v>
      </c>
      <c r="G61" s="93" t="s">
        <v>23</v>
      </c>
      <c r="H61" s="232" t="s">
        <v>64</v>
      </c>
      <c r="I61" s="103" t="s">
        <v>127</v>
      </c>
      <c r="J61" s="103" t="s">
        <v>127</v>
      </c>
      <c r="K61" s="102"/>
      <c r="L61" s="212">
        <v>160</v>
      </c>
      <c r="M61" s="93" t="s">
        <v>51</v>
      </c>
    </row>
    <row r="62" spans="1:13" ht="12.75">
      <c r="A62" s="29">
        <v>5</v>
      </c>
      <c r="B62" s="410"/>
      <c r="C62" s="18" t="s">
        <v>3942</v>
      </c>
      <c r="D62" s="93" t="s">
        <v>3098</v>
      </c>
      <c r="E62" s="93" t="s">
        <v>3099</v>
      </c>
      <c r="F62" s="93" t="s">
        <v>31</v>
      </c>
      <c r="G62" s="93" t="s">
        <v>1903</v>
      </c>
      <c r="H62" s="232" t="s">
        <v>811</v>
      </c>
      <c r="I62" s="232" t="s">
        <v>132</v>
      </c>
      <c r="J62" s="232" t="s">
        <v>63</v>
      </c>
      <c r="K62" s="102"/>
      <c r="L62" s="212">
        <v>155</v>
      </c>
      <c r="M62" s="93" t="s">
        <v>51</v>
      </c>
    </row>
    <row r="63" spans="1:13" ht="12.75">
      <c r="A63" s="29"/>
      <c r="B63" s="410"/>
      <c r="C63" s="19" t="s">
        <v>3100</v>
      </c>
      <c r="D63" s="95" t="s">
        <v>3101</v>
      </c>
      <c r="E63" s="95" t="s">
        <v>1682</v>
      </c>
      <c r="F63" s="95" t="s">
        <v>31</v>
      </c>
      <c r="G63" s="95" t="s">
        <v>1903</v>
      </c>
      <c r="H63" s="112" t="s">
        <v>132</v>
      </c>
      <c r="I63" s="112" t="s">
        <v>183</v>
      </c>
      <c r="J63" s="112" t="s">
        <v>183</v>
      </c>
      <c r="K63" s="109"/>
      <c r="L63" s="213">
        <v>0</v>
      </c>
      <c r="M63" s="95" t="s">
        <v>51</v>
      </c>
    </row>
    <row r="64" spans="1:13" ht="12.75">
      <c r="A64" s="29"/>
      <c r="B64" s="410"/>
      <c r="C64" s="15"/>
      <c r="D64" s="15"/>
      <c r="E64" s="15"/>
      <c r="F64" s="15"/>
      <c r="G64" s="15"/>
      <c r="H64" s="15"/>
      <c r="I64" s="15"/>
      <c r="J64" s="15"/>
      <c r="K64" s="15"/>
      <c r="L64" s="30"/>
      <c r="M64" s="15"/>
    </row>
    <row r="65" spans="1:13" ht="15.75">
      <c r="A65" s="29"/>
      <c r="B65" s="410"/>
      <c r="C65" s="508" t="s">
        <v>304</v>
      </c>
      <c r="D65" s="508"/>
      <c r="E65" s="508"/>
      <c r="F65" s="508"/>
      <c r="G65" s="508"/>
      <c r="H65" s="508"/>
      <c r="I65" s="508"/>
      <c r="J65" s="508"/>
      <c r="K65" s="508"/>
      <c r="L65" s="508"/>
      <c r="M65" s="15"/>
    </row>
    <row r="66" spans="1:13" ht="12.75">
      <c r="A66" s="29">
        <v>1</v>
      </c>
      <c r="B66" s="410"/>
      <c r="C66" s="17" t="s">
        <v>3943</v>
      </c>
      <c r="D66" s="88" t="s">
        <v>3103</v>
      </c>
      <c r="E66" s="88" t="s">
        <v>3104</v>
      </c>
      <c r="F66" s="88" t="s">
        <v>31</v>
      </c>
      <c r="G66" s="88" t="s">
        <v>1903</v>
      </c>
      <c r="H66" s="236" t="s">
        <v>127</v>
      </c>
      <c r="I66" s="231" t="s">
        <v>108</v>
      </c>
      <c r="J66" s="121" t="s">
        <v>120</v>
      </c>
      <c r="K66" s="101"/>
      <c r="L66" s="167">
        <v>190</v>
      </c>
      <c r="M66" s="88" t="s">
        <v>51</v>
      </c>
    </row>
    <row r="67" spans="1:13" ht="12.75">
      <c r="A67" s="29">
        <v>2</v>
      </c>
      <c r="B67" s="410"/>
      <c r="C67" s="19" t="s">
        <v>3944</v>
      </c>
      <c r="D67" s="95" t="s">
        <v>3027</v>
      </c>
      <c r="E67" s="95" t="s">
        <v>3028</v>
      </c>
      <c r="F67" s="95" t="s">
        <v>31</v>
      </c>
      <c r="G67" s="95" t="s">
        <v>201</v>
      </c>
      <c r="H67" s="234" t="s">
        <v>153</v>
      </c>
      <c r="I67" s="112" t="s">
        <v>127</v>
      </c>
      <c r="J67" s="112" t="s">
        <v>127</v>
      </c>
      <c r="K67" s="109"/>
      <c r="L67" s="168">
        <v>170</v>
      </c>
      <c r="M67" s="95" t="s">
        <v>51</v>
      </c>
    </row>
    <row r="68" spans="1:13" ht="12.75">
      <c r="A68" s="29"/>
      <c r="B68" s="410"/>
      <c r="C68" s="15"/>
      <c r="D68" s="15"/>
      <c r="E68" s="15"/>
      <c r="F68" s="15"/>
      <c r="G68" s="15"/>
      <c r="H68" s="15"/>
      <c r="I68" s="15"/>
      <c r="J68" s="15"/>
      <c r="K68" s="15"/>
      <c r="L68" s="30"/>
      <c r="M68" s="15"/>
    </row>
    <row r="69" spans="1:13" ht="15.75">
      <c r="A69" s="29"/>
      <c r="B69" s="410"/>
      <c r="C69" s="508" t="s">
        <v>3032</v>
      </c>
      <c r="D69" s="508"/>
      <c r="E69" s="508"/>
      <c r="F69" s="508"/>
      <c r="G69" s="508"/>
      <c r="H69" s="508"/>
      <c r="I69" s="508"/>
      <c r="J69" s="508"/>
      <c r="K69" s="508"/>
      <c r="L69" s="508"/>
      <c r="M69" s="15"/>
    </row>
    <row r="70" spans="1:13" ht="12.75">
      <c r="A70" s="29">
        <v>1</v>
      </c>
      <c r="B70" s="410">
        <v>30</v>
      </c>
      <c r="C70" s="20" t="s">
        <v>3939</v>
      </c>
      <c r="D70" s="210" t="s">
        <v>3033</v>
      </c>
      <c r="E70" s="210" t="s">
        <v>3034</v>
      </c>
      <c r="F70" s="210" t="s">
        <v>2400</v>
      </c>
      <c r="G70" s="210" t="s">
        <v>1903</v>
      </c>
      <c r="H70" s="233" t="s">
        <v>183</v>
      </c>
      <c r="I70" s="233" t="s">
        <v>127</v>
      </c>
      <c r="J70" s="233" t="s">
        <v>108</v>
      </c>
      <c r="K70" s="136" t="s">
        <v>190</v>
      </c>
      <c r="L70" s="211">
        <v>190</v>
      </c>
      <c r="M70" s="210" t="s">
        <v>2968</v>
      </c>
    </row>
    <row r="71" spans="1:13" ht="12.75">
      <c r="A71" s="29"/>
      <c r="B71" s="410"/>
      <c r="C71" s="15"/>
      <c r="D71" s="15"/>
      <c r="E71" s="15"/>
      <c r="F71" s="15"/>
      <c r="G71" s="15"/>
      <c r="H71" s="15"/>
      <c r="I71" s="15"/>
      <c r="J71" s="15"/>
      <c r="K71" s="15"/>
      <c r="L71" s="30"/>
      <c r="M71" s="15"/>
    </row>
    <row r="72" spans="1:13" ht="15.75">
      <c r="A72" s="29"/>
      <c r="B72" s="410"/>
      <c r="C72" s="508" t="s">
        <v>3036</v>
      </c>
      <c r="D72" s="508"/>
      <c r="E72" s="508"/>
      <c r="F72" s="508"/>
      <c r="G72" s="508"/>
      <c r="H72" s="508"/>
      <c r="I72" s="508"/>
      <c r="J72" s="508"/>
      <c r="K72" s="508"/>
      <c r="L72" s="508"/>
      <c r="M72" s="15"/>
    </row>
    <row r="73" spans="1:13" ht="12.75">
      <c r="A73" s="29">
        <v>1</v>
      </c>
      <c r="B73" s="410"/>
      <c r="C73" s="20" t="s">
        <v>3945</v>
      </c>
      <c r="D73" s="210" t="s">
        <v>3038</v>
      </c>
      <c r="E73" s="210" t="s">
        <v>3039</v>
      </c>
      <c r="F73" s="210" t="s">
        <v>31</v>
      </c>
      <c r="G73" s="210" t="s">
        <v>3113</v>
      </c>
      <c r="H73" s="233" t="s">
        <v>175</v>
      </c>
      <c r="I73" s="233" t="s">
        <v>121</v>
      </c>
      <c r="J73" s="233" t="s">
        <v>202</v>
      </c>
      <c r="K73" s="233" t="s">
        <v>4088</v>
      </c>
      <c r="L73" s="211">
        <v>207.5</v>
      </c>
      <c r="M73" s="210" t="s">
        <v>3040</v>
      </c>
    </row>
    <row r="74" spans="1:13" ht="12.75">
      <c r="A74" s="29"/>
      <c r="B74" s="410"/>
      <c r="C74" s="15"/>
      <c r="D74" s="15"/>
      <c r="E74" s="15"/>
      <c r="F74" s="15"/>
      <c r="G74" s="15"/>
      <c r="H74" s="15"/>
      <c r="I74" s="15"/>
      <c r="J74" s="15"/>
      <c r="K74" s="15"/>
      <c r="L74" s="30"/>
      <c r="M74" s="15"/>
    </row>
    <row r="75" spans="1:13" ht="15.75">
      <c r="A75" s="29"/>
      <c r="B75" s="410"/>
      <c r="C75" s="508" t="s">
        <v>499</v>
      </c>
      <c r="D75" s="508"/>
      <c r="E75" s="508"/>
      <c r="F75" s="508"/>
      <c r="G75" s="508"/>
      <c r="H75" s="508"/>
      <c r="I75" s="508"/>
      <c r="J75" s="508"/>
      <c r="K75" s="526"/>
      <c r="L75" s="508"/>
      <c r="M75" s="15"/>
    </row>
    <row r="76" spans="1:13" ht="12.75">
      <c r="A76" s="29">
        <v>1</v>
      </c>
      <c r="B76" s="410"/>
      <c r="C76" s="17" t="s">
        <v>3945</v>
      </c>
      <c r="D76" s="88" t="s">
        <v>3041</v>
      </c>
      <c r="E76" s="88" t="s">
        <v>3039</v>
      </c>
      <c r="F76" s="88" t="s">
        <v>31</v>
      </c>
      <c r="G76" s="88" t="s">
        <v>3113</v>
      </c>
      <c r="H76" s="231" t="s">
        <v>175</v>
      </c>
      <c r="I76" s="231" t="s">
        <v>121</v>
      </c>
      <c r="J76" s="244" t="s">
        <v>202</v>
      </c>
      <c r="K76" s="219" t="s">
        <v>4088</v>
      </c>
      <c r="L76" s="167">
        <v>207.5</v>
      </c>
      <c r="M76" s="88" t="s">
        <v>3040</v>
      </c>
    </row>
    <row r="77" spans="1:13" ht="12.75">
      <c r="A77" s="29">
        <v>2</v>
      </c>
      <c r="B77" s="410"/>
      <c r="C77" s="18" t="s">
        <v>3946</v>
      </c>
      <c r="D77" s="93" t="s">
        <v>3044</v>
      </c>
      <c r="E77" s="93" t="s">
        <v>3105</v>
      </c>
      <c r="F77" s="93" t="s">
        <v>31</v>
      </c>
      <c r="G77" s="93" t="s">
        <v>2980</v>
      </c>
      <c r="H77" s="232" t="s">
        <v>153</v>
      </c>
      <c r="I77" s="232" t="s">
        <v>127</v>
      </c>
      <c r="J77" s="232" t="s">
        <v>175</v>
      </c>
      <c r="K77" s="47" t="s">
        <v>108</v>
      </c>
      <c r="L77" s="212">
        <v>185</v>
      </c>
      <c r="M77" s="93" t="s">
        <v>51</v>
      </c>
    </row>
    <row r="78" spans="1:13" ht="12.75">
      <c r="A78" s="29">
        <v>3</v>
      </c>
      <c r="B78" s="410"/>
      <c r="C78" s="18" t="s">
        <v>3947</v>
      </c>
      <c r="D78" s="93" t="s">
        <v>3107</v>
      </c>
      <c r="E78" s="93" t="s">
        <v>1855</v>
      </c>
      <c r="F78" s="93" t="s">
        <v>31</v>
      </c>
      <c r="G78" s="93" t="s">
        <v>1026</v>
      </c>
      <c r="H78" s="237" t="s">
        <v>555</v>
      </c>
      <c r="I78" s="232" t="s">
        <v>127</v>
      </c>
      <c r="J78" s="232" t="s">
        <v>350</v>
      </c>
      <c r="K78" s="39"/>
      <c r="L78" s="212">
        <v>182.5</v>
      </c>
      <c r="M78" s="93" t="s">
        <v>51</v>
      </c>
    </row>
    <row r="79" spans="1:13" ht="12.75">
      <c r="A79" s="29">
        <v>4</v>
      </c>
      <c r="B79" s="410"/>
      <c r="C79" s="18" t="s">
        <v>3940</v>
      </c>
      <c r="D79" s="93" t="s">
        <v>3108</v>
      </c>
      <c r="E79" s="93" t="s">
        <v>3095</v>
      </c>
      <c r="F79" s="93" t="s">
        <v>31</v>
      </c>
      <c r="G79" s="93" t="s">
        <v>2409</v>
      </c>
      <c r="H79" s="232" t="s">
        <v>64</v>
      </c>
      <c r="I79" s="103" t="s">
        <v>153</v>
      </c>
      <c r="J79" s="232" t="s">
        <v>153</v>
      </c>
      <c r="K79" s="39"/>
      <c r="L79" s="212">
        <v>170</v>
      </c>
      <c r="M79" s="93" t="s">
        <v>51</v>
      </c>
    </row>
    <row r="80" spans="1:13" ht="12.75">
      <c r="A80" s="29">
        <v>5</v>
      </c>
      <c r="B80" s="410">
        <v>6</v>
      </c>
      <c r="C80" s="18" t="s">
        <v>3948</v>
      </c>
      <c r="D80" s="93" t="s">
        <v>3046</v>
      </c>
      <c r="E80" s="93" t="s">
        <v>3109</v>
      </c>
      <c r="F80" s="93" t="s">
        <v>125</v>
      </c>
      <c r="G80" s="93" t="s">
        <v>3047</v>
      </c>
      <c r="H80" s="232" t="s">
        <v>132</v>
      </c>
      <c r="I80" s="232" t="s">
        <v>64</v>
      </c>
      <c r="J80" s="232" t="s">
        <v>183</v>
      </c>
      <c r="K80" s="47" t="s">
        <v>153</v>
      </c>
      <c r="L80" s="212">
        <v>165</v>
      </c>
      <c r="M80" s="93" t="s">
        <v>3048</v>
      </c>
    </row>
    <row r="81" spans="1:13" ht="12.75">
      <c r="A81" s="29">
        <v>6</v>
      </c>
      <c r="B81" s="410">
        <v>5</v>
      </c>
      <c r="C81" s="19" t="s">
        <v>3949</v>
      </c>
      <c r="D81" s="95" t="s">
        <v>3110</v>
      </c>
      <c r="E81" s="95" t="s">
        <v>2576</v>
      </c>
      <c r="F81" s="95" t="s">
        <v>125</v>
      </c>
      <c r="G81" s="95" t="s">
        <v>3111</v>
      </c>
      <c r="H81" s="234" t="s">
        <v>480</v>
      </c>
      <c r="I81" s="234" t="s">
        <v>132</v>
      </c>
      <c r="J81" s="112" t="s">
        <v>64</v>
      </c>
      <c r="K81" s="42"/>
      <c r="L81" s="168">
        <v>150</v>
      </c>
      <c r="M81" s="95" t="s">
        <v>3112</v>
      </c>
    </row>
    <row r="82" spans="1:13" ht="12.75">
      <c r="A82" s="29"/>
      <c r="B82" s="410"/>
      <c r="C82" s="15"/>
      <c r="D82" s="15"/>
      <c r="E82" s="15"/>
      <c r="F82" s="15"/>
      <c r="G82" s="15"/>
      <c r="H82" s="15"/>
      <c r="I82" s="15"/>
      <c r="J82" s="15"/>
      <c r="K82" s="15"/>
      <c r="L82" s="30"/>
      <c r="M82" s="15"/>
    </row>
    <row r="83" spans="1:13" ht="12.75">
      <c r="A83" s="29"/>
      <c r="B83" s="410"/>
      <c r="C83" s="15"/>
      <c r="D83" s="15"/>
      <c r="E83" s="15"/>
      <c r="F83" s="15"/>
      <c r="G83" s="15"/>
      <c r="H83" s="15"/>
      <c r="I83" s="15"/>
      <c r="J83" s="15"/>
      <c r="K83" s="15"/>
      <c r="L83" s="30"/>
      <c r="M83" s="15"/>
    </row>
    <row r="84" spans="1:13" ht="18">
      <c r="A84" s="29"/>
      <c r="B84" s="410"/>
      <c r="C84" s="16" t="s">
        <v>370</v>
      </c>
      <c r="D84" s="16"/>
      <c r="E84" s="15"/>
      <c r="F84" s="15"/>
      <c r="G84" s="15"/>
      <c r="H84" s="15"/>
      <c r="I84" s="15"/>
      <c r="J84" s="15"/>
      <c r="K84" s="15"/>
      <c r="L84" s="30"/>
      <c r="M84" s="15"/>
    </row>
    <row r="85" spans="1:13" ht="15.75">
      <c r="A85" s="29"/>
      <c r="B85" s="410"/>
      <c r="C85" s="22" t="s">
        <v>371</v>
      </c>
      <c r="D85" s="22"/>
      <c r="E85" s="15"/>
      <c r="F85" s="15"/>
      <c r="G85" s="15"/>
      <c r="H85" s="15"/>
      <c r="I85" s="15"/>
      <c r="J85" s="15"/>
      <c r="K85" s="15"/>
      <c r="L85" s="30"/>
      <c r="M85" s="15"/>
    </row>
    <row r="86" spans="1:13" ht="13.5">
      <c r="A86" s="29"/>
      <c r="B86" s="410"/>
      <c r="C86" s="24"/>
      <c r="D86" s="25" t="s">
        <v>2102</v>
      </c>
      <c r="E86" s="15"/>
      <c r="F86" s="15"/>
      <c r="G86" s="15"/>
      <c r="H86" s="15"/>
      <c r="I86" s="15"/>
      <c r="J86" s="15"/>
      <c r="K86" s="15"/>
      <c r="L86" s="30"/>
      <c r="M86" s="15"/>
    </row>
    <row r="87" spans="1:13" ht="13.5">
      <c r="A87" s="29"/>
      <c r="B87" s="410"/>
      <c r="C87" s="26" t="s">
        <v>373</v>
      </c>
      <c r="D87" s="181" t="s">
        <v>374</v>
      </c>
      <c r="E87" s="181" t="s">
        <v>375</v>
      </c>
      <c r="F87" s="181" t="s">
        <v>1672</v>
      </c>
      <c r="G87" s="15"/>
      <c r="H87" s="15"/>
      <c r="I87" s="15"/>
      <c r="J87" s="15"/>
      <c r="K87" s="15"/>
      <c r="L87" s="30"/>
      <c r="M87" s="15"/>
    </row>
    <row r="88" spans="1:13" ht="12.75">
      <c r="A88" s="29">
        <v>1</v>
      </c>
      <c r="B88" s="410"/>
      <c r="C88" s="90" t="s">
        <v>2970</v>
      </c>
      <c r="D88" s="49" t="s">
        <v>3052</v>
      </c>
      <c r="E88" s="50" t="s">
        <v>3051</v>
      </c>
      <c r="F88" s="50" t="s">
        <v>303</v>
      </c>
      <c r="G88" s="15"/>
      <c r="H88" s="15"/>
      <c r="I88" s="15"/>
      <c r="J88" s="15"/>
      <c r="K88" s="15"/>
      <c r="L88" s="30"/>
      <c r="M88" s="15"/>
    </row>
    <row r="89" spans="1:13" ht="12.75">
      <c r="A89" s="29">
        <v>2</v>
      </c>
      <c r="B89" s="410"/>
      <c r="C89" s="90" t="s">
        <v>2957</v>
      </c>
      <c r="D89" s="49" t="s">
        <v>3052</v>
      </c>
      <c r="E89" s="50" t="s">
        <v>2436</v>
      </c>
      <c r="F89" s="50" t="s">
        <v>48</v>
      </c>
      <c r="G89" s="15"/>
      <c r="H89" s="15"/>
      <c r="I89" s="15"/>
      <c r="J89" s="15"/>
      <c r="K89" s="15"/>
      <c r="L89" s="30"/>
      <c r="M89" s="15"/>
    </row>
    <row r="90" spans="1:13" ht="12.75">
      <c r="A90" s="29">
        <v>3</v>
      </c>
      <c r="B90" s="410"/>
      <c r="C90" s="90" t="s">
        <v>1351</v>
      </c>
      <c r="D90" s="49" t="s">
        <v>3052</v>
      </c>
      <c r="E90" s="50" t="s">
        <v>2436</v>
      </c>
      <c r="F90" s="50" t="s">
        <v>416</v>
      </c>
      <c r="G90" s="15"/>
      <c r="H90" s="15"/>
      <c r="I90" s="15"/>
      <c r="J90" s="15"/>
      <c r="K90" s="15"/>
      <c r="L90" s="30"/>
      <c r="M90" s="15"/>
    </row>
    <row r="91" spans="1:13" ht="13.5">
      <c r="A91" s="29"/>
      <c r="B91" s="410"/>
      <c r="C91" s="24"/>
      <c r="D91" s="25" t="s">
        <v>2102</v>
      </c>
      <c r="E91" s="15"/>
      <c r="F91" s="15"/>
      <c r="G91" s="15"/>
      <c r="H91" s="15"/>
      <c r="I91" s="15"/>
      <c r="J91" s="15"/>
      <c r="K91" s="15"/>
      <c r="L91" s="30"/>
      <c r="M91" s="15"/>
    </row>
    <row r="92" spans="1:13" ht="13.5">
      <c r="A92" s="29"/>
      <c r="B92" s="410"/>
      <c r="C92" s="26" t="s">
        <v>373</v>
      </c>
      <c r="D92" s="181" t="s">
        <v>374</v>
      </c>
      <c r="E92" s="181" t="s">
        <v>375</v>
      </c>
      <c r="F92" s="181" t="s">
        <v>1672</v>
      </c>
      <c r="G92" s="15"/>
      <c r="H92" s="15"/>
      <c r="I92" s="15"/>
      <c r="J92" s="15"/>
      <c r="K92" s="15"/>
      <c r="L92" s="30"/>
      <c r="M92" s="15"/>
    </row>
    <row r="93" spans="1:13" ht="12.75">
      <c r="A93" s="29">
        <v>1</v>
      </c>
      <c r="B93" s="410"/>
      <c r="C93" s="90" t="s">
        <v>2964</v>
      </c>
      <c r="D93" s="49" t="s">
        <v>372</v>
      </c>
      <c r="E93" s="50" t="s">
        <v>2321</v>
      </c>
      <c r="F93" s="50" t="s">
        <v>303</v>
      </c>
      <c r="G93" s="15"/>
      <c r="H93" s="15"/>
      <c r="I93" s="15"/>
      <c r="J93" s="15"/>
      <c r="K93" s="15"/>
      <c r="L93" s="30"/>
      <c r="M93" s="15"/>
    </row>
    <row r="94" spans="1:13" ht="12.75">
      <c r="A94" s="29">
        <v>2</v>
      </c>
      <c r="B94" s="410"/>
      <c r="C94" s="90" t="s">
        <v>1606</v>
      </c>
      <c r="D94" s="49" t="s">
        <v>372</v>
      </c>
      <c r="E94" s="50" t="s">
        <v>2321</v>
      </c>
      <c r="F94" s="50" t="s">
        <v>49</v>
      </c>
      <c r="G94" s="15"/>
      <c r="H94" s="15"/>
      <c r="I94" s="15"/>
      <c r="J94" s="15"/>
      <c r="K94" s="15"/>
      <c r="L94" s="30"/>
      <c r="M94" s="15"/>
    </row>
    <row r="95" spans="1:13" ht="12.75">
      <c r="A95" s="29">
        <v>3</v>
      </c>
      <c r="B95" s="410"/>
      <c r="C95" s="90" t="s">
        <v>2957</v>
      </c>
      <c r="D95" s="49" t="s">
        <v>372</v>
      </c>
      <c r="E95" s="50" t="s">
        <v>2436</v>
      </c>
      <c r="F95" s="50" t="s">
        <v>48</v>
      </c>
      <c r="G95" s="15"/>
      <c r="H95" s="15"/>
      <c r="I95" s="15"/>
      <c r="J95" s="15"/>
      <c r="K95" s="15"/>
      <c r="L95" s="30"/>
      <c r="M95" s="15"/>
    </row>
    <row r="96" spans="1:13" ht="12.75">
      <c r="A96" s="29"/>
      <c r="B96" s="410"/>
      <c r="C96" s="15"/>
      <c r="D96" s="15"/>
      <c r="E96" s="15"/>
      <c r="F96" s="15"/>
      <c r="G96" s="15"/>
      <c r="H96" s="15"/>
      <c r="I96" s="15"/>
      <c r="J96" s="15"/>
      <c r="K96" s="15"/>
      <c r="L96" s="30"/>
      <c r="M96" s="15"/>
    </row>
    <row r="97" spans="1:13" ht="15.75">
      <c r="A97" s="29"/>
      <c r="B97" s="410"/>
      <c r="C97" s="22" t="s">
        <v>387</v>
      </c>
      <c r="D97" s="22"/>
      <c r="E97" s="15"/>
      <c r="F97" s="15"/>
      <c r="G97" s="15"/>
      <c r="H97" s="15"/>
      <c r="I97" s="15"/>
      <c r="J97" s="15"/>
      <c r="K97" s="15"/>
      <c r="L97" s="30"/>
      <c r="M97" s="15"/>
    </row>
    <row r="98" spans="1:13" ht="13.5">
      <c r="A98" s="29"/>
      <c r="B98" s="410"/>
      <c r="C98" s="24"/>
      <c r="D98" s="25" t="s">
        <v>2102</v>
      </c>
      <c r="E98" s="15"/>
      <c r="F98" s="15"/>
      <c r="G98" s="15"/>
      <c r="H98" s="15"/>
      <c r="I98" s="15"/>
      <c r="J98" s="15"/>
      <c r="K98" s="15"/>
      <c r="L98" s="30"/>
      <c r="M98" s="15"/>
    </row>
    <row r="99" spans="1:13" ht="13.5">
      <c r="A99" s="29"/>
      <c r="B99" s="410"/>
      <c r="C99" s="26" t="s">
        <v>373</v>
      </c>
      <c r="D99" s="181" t="s">
        <v>374</v>
      </c>
      <c r="E99" s="181" t="s">
        <v>375</v>
      </c>
      <c r="F99" s="181" t="s">
        <v>1672</v>
      </c>
      <c r="G99" s="15"/>
      <c r="H99" s="15"/>
      <c r="I99" s="15"/>
      <c r="J99" s="15"/>
      <c r="K99" s="15"/>
      <c r="L99" s="30"/>
      <c r="M99" s="15"/>
    </row>
    <row r="100" spans="1:13" ht="12.75">
      <c r="A100" s="29">
        <v>1</v>
      </c>
      <c r="B100" s="410"/>
      <c r="C100" s="90" t="s">
        <v>234</v>
      </c>
      <c r="D100" s="49" t="s">
        <v>3052</v>
      </c>
      <c r="E100" s="50" t="s">
        <v>3053</v>
      </c>
      <c r="F100" s="50" t="s">
        <v>108</v>
      </c>
      <c r="G100" s="15"/>
      <c r="H100" s="15"/>
      <c r="I100" s="15"/>
      <c r="J100" s="15"/>
      <c r="K100" s="15"/>
      <c r="L100" s="30"/>
      <c r="M100" s="15"/>
    </row>
    <row r="101" spans="1:13" ht="12.75">
      <c r="A101" s="29">
        <v>2</v>
      </c>
      <c r="B101" s="410"/>
      <c r="C101" s="90" t="s">
        <v>2995</v>
      </c>
      <c r="D101" s="49" t="s">
        <v>3052</v>
      </c>
      <c r="E101" s="50" t="s">
        <v>1685</v>
      </c>
      <c r="F101" s="50" t="s">
        <v>153</v>
      </c>
      <c r="G101" s="15"/>
      <c r="H101" s="15"/>
      <c r="I101" s="15"/>
      <c r="J101" s="15"/>
      <c r="K101" s="15"/>
      <c r="L101" s="30"/>
      <c r="M101" s="15"/>
    </row>
    <row r="102" spans="1:13" ht="12.75">
      <c r="A102" s="29">
        <v>3</v>
      </c>
      <c r="B102" s="410"/>
      <c r="C102" s="90" t="s">
        <v>2997</v>
      </c>
      <c r="D102" s="49" t="s">
        <v>3052</v>
      </c>
      <c r="E102" s="50" t="s">
        <v>1685</v>
      </c>
      <c r="F102" s="50" t="s">
        <v>153</v>
      </c>
      <c r="G102" s="15"/>
      <c r="H102" s="15"/>
      <c r="I102" s="15"/>
      <c r="J102" s="15"/>
      <c r="K102" s="15"/>
      <c r="L102" s="30"/>
      <c r="M102" s="15"/>
    </row>
    <row r="103" spans="1:13" ht="13.5">
      <c r="A103" s="29"/>
      <c r="B103" s="410"/>
      <c r="C103" s="24"/>
      <c r="D103" s="25" t="s">
        <v>2102</v>
      </c>
      <c r="E103" s="15"/>
      <c r="F103" s="15"/>
      <c r="G103" s="15"/>
      <c r="H103" s="15"/>
      <c r="I103" s="15"/>
      <c r="J103" s="15"/>
      <c r="K103" s="15"/>
      <c r="L103" s="30"/>
      <c r="M103" s="15"/>
    </row>
    <row r="104" spans="1:13" ht="13.5">
      <c r="A104" s="29"/>
      <c r="B104" s="410"/>
      <c r="C104" s="26" t="s">
        <v>373</v>
      </c>
      <c r="D104" s="181" t="s">
        <v>374</v>
      </c>
      <c r="E104" s="181" t="s">
        <v>375</v>
      </c>
      <c r="F104" s="181" t="s">
        <v>1672</v>
      </c>
      <c r="G104" s="15"/>
      <c r="H104" s="15"/>
      <c r="I104" s="15"/>
      <c r="J104" s="15"/>
      <c r="K104" s="15"/>
      <c r="L104" s="30"/>
      <c r="M104" s="15"/>
    </row>
    <row r="105" spans="1:13" ht="12.75">
      <c r="A105" s="29">
        <v>1</v>
      </c>
      <c r="B105" s="410"/>
      <c r="C105" s="90" t="s">
        <v>3037</v>
      </c>
      <c r="D105" s="49" t="s">
        <v>372</v>
      </c>
      <c r="E105" s="50" t="s">
        <v>3054</v>
      </c>
      <c r="F105" s="50" t="s">
        <v>202</v>
      </c>
      <c r="G105" s="15"/>
      <c r="H105" s="15"/>
      <c r="I105" s="15"/>
      <c r="J105" s="15"/>
      <c r="K105" s="15"/>
      <c r="L105" s="30"/>
      <c r="M105" s="15"/>
    </row>
    <row r="106" spans="1:13" ht="12.75">
      <c r="A106" s="29">
        <v>2</v>
      </c>
      <c r="B106" s="410"/>
      <c r="C106" s="90" t="s">
        <v>3019</v>
      </c>
      <c r="D106" s="49" t="s">
        <v>372</v>
      </c>
      <c r="E106" s="50" t="s">
        <v>1684</v>
      </c>
      <c r="F106" s="50" t="s">
        <v>121</v>
      </c>
      <c r="G106" s="15"/>
      <c r="H106" s="15"/>
      <c r="I106" s="15"/>
      <c r="J106" s="15"/>
      <c r="K106" s="15"/>
      <c r="L106" s="30"/>
      <c r="M106" s="15"/>
    </row>
    <row r="107" spans="1:13" ht="12.75">
      <c r="A107" s="29">
        <v>3</v>
      </c>
      <c r="B107" s="410"/>
      <c r="C107" s="90" t="s">
        <v>3077</v>
      </c>
      <c r="D107" s="49" t="s">
        <v>372</v>
      </c>
      <c r="E107" s="50" t="s">
        <v>1685</v>
      </c>
      <c r="F107" s="50" t="s">
        <v>190</v>
      </c>
      <c r="G107" s="15"/>
      <c r="H107" s="15"/>
      <c r="I107" s="15"/>
      <c r="J107" s="15"/>
      <c r="K107" s="15"/>
      <c r="L107" s="30"/>
      <c r="M107" s="15"/>
    </row>
    <row r="108" spans="1:13" ht="13.5">
      <c r="A108" s="29"/>
      <c r="B108" s="410"/>
      <c r="C108" s="24"/>
      <c r="D108" s="25" t="s">
        <v>2102</v>
      </c>
      <c r="E108" s="15"/>
      <c r="F108" s="15"/>
      <c r="G108" s="15"/>
      <c r="H108" s="15"/>
      <c r="I108" s="15"/>
      <c r="J108" s="15"/>
      <c r="K108" s="15"/>
      <c r="L108" s="30"/>
      <c r="M108" s="15"/>
    </row>
    <row r="109" spans="1:13" ht="13.5">
      <c r="A109" s="29"/>
      <c r="B109" s="410"/>
      <c r="C109" s="26" t="s">
        <v>373</v>
      </c>
      <c r="D109" s="181" t="s">
        <v>374</v>
      </c>
      <c r="E109" s="181" t="s">
        <v>375</v>
      </c>
      <c r="F109" s="181" t="s">
        <v>1672</v>
      </c>
      <c r="G109" s="15"/>
      <c r="H109" s="15"/>
      <c r="I109" s="15"/>
      <c r="J109" s="15"/>
      <c r="K109" s="15"/>
      <c r="L109" s="30"/>
      <c r="M109" s="15"/>
    </row>
    <row r="110" spans="1:13" ht="12.75">
      <c r="A110" s="29">
        <v>1</v>
      </c>
      <c r="B110" s="410"/>
      <c r="C110" s="90" t="s">
        <v>3037</v>
      </c>
      <c r="D110" s="49" t="s">
        <v>3055</v>
      </c>
      <c r="E110" s="50" t="s">
        <v>771</v>
      </c>
      <c r="F110" s="50" t="s">
        <v>202</v>
      </c>
      <c r="G110" s="15"/>
      <c r="H110" s="15"/>
      <c r="I110" s="15"/>
      <c r="J110" s="15"/>
      <c r="K110" s="15"/>
      <c r="L110" s="30"/>
      <c r="M110" s="15"/>
    </row>
    <row r="111" spans="1:13" ht="12.75">
      <c r="A111" s="29">
        <v>2</v>
      </c>
      <c r="B111" s="410"/>
      <c r="C111" s="90" t="s">
        <v>3043</v>
      </c>
      <c r="D111" s="49" t="s">
        <v>3055</v>
      </c>
      <c r="E111" s="50" t="s">
        <v>771</v>
      </c>
      <c r="F111" s="50" t="s">
        <v>175</v>
      </c>
      <c r="G111" s="15"/>
      <c r="H111" s="15"/>
      <c r="I111" s="15"/>
      <c r="J111" s="15"/>
      <c r="K111" s="15"/>
      <c r="L111" s="30"/>
      <c r="M111" s="15"/>
    </row>
    <row r="112" spans="1:13" ht="12.75">
      <c r="A112" s="29">
        <v>3</v>
      </c>
      <c r="B112" s="410"/>
      <c r="C112" s="90" t="s">
        <v>3106</v>
      </c>
      <c r="D112" s="49" t="s">
        <v>3055</v>
      </c>
      <c r="E112" s="50" t="s">
        <v>771</v>
      </c>
      <c r="F112" s="50" t="s">
        <v>350</v>
      </c>
      <c r="G112" s="15"/>
      <c r="H112" s="15"/>
      <c r="I112" s="15"/>
      <c r="J112" s="15"/>
      <c r="K112" s="15"/>
      <c r="L112" s="30"/>
      <c r="M112" s="15"/>
    </row>
    <row r="113" spans="1:13" ht="12.75">
      <c r="A113" s="29"/>
      <c r="B113" s="410"/>
      <c r="G113" s="15"/>
      <c r="H113" s="15"/>
      <c r="I113" s="15"/>
      <c r="J113" s="15"/>
      <c r="K113" s="15"/>
      <c r="L113" s="30"/>
      <c r="M113" s="15"/>
    </row>
    <row r="114" spans="1:13" ht="12.75">
      <c r="A114" s="29"/>
      <c r="B114" s="410"/>
      <c r="C114" s="15"/>
      <c r="D114" s="15"/>
      <c r="E114" s="15"/>
      <c r="F114" s="15"/>
      <c r="G114" s="15"/>
      <c r="H114" s="15"/>
      <c r="I114" s="15"/>
      <c r="J114" s="15"/>
      <c r="K114" s="15"/>
      <c r="L114" s="30"/>
      <c r="M114" s="15"/>
    </row>
    <row r="115" spans="1:13" ht="12.75">
      <c r="A115" s="29"/>
      <c r="B115" s="410"/>
      <c r="C115" s="15"/>
      <c r="D115" s="15"/>
      <c r="E115" s="15"/>
      <c r="F115" s="15"/>
      <c r="G115" s="15"/>
      <c r="H115" s="15"/>
      <c r="I115" s="15"/>
      <c r="J115" s="15"/>
      <c r="K115" s="15"/>
      <c r="L115" s="30"/>
      <c r="M115" s="15"/>
    </row>
    <row r="116" spans="1:13" ht="12.75">
      <c r="A116" s="29"/>
      <c r="B116" s="410"/>
      <c r="C116" s="15"/>
      <c r="D116" s="15"/>
      <c r="E116" s="15"/>
      <c r="F116" s="15"/>
      <c r="G116" s="15"/>
      <c r="H116" s="15"/>
      <c r="I116" s="15"/>
      <c r="J116" s="15"/>
      <c r="K116" s="15"/>
      <c r="L116" s="30"/>
      <c r="M116" s="15"/>
    </row>
    <row r="117" spans="1:13" ht="12.75">
      <c r="A117" s="29"/>
      <c r="B117" s="410"/>
      <c r="C117" s="15"/>
      <c r="D117" s="15"/>
      <c r="E117" s="15"/>
      <c r="F117" s="15"/>
      <c r="G117" s="15"/>
      <c r="H117" s="15"/>
      <c r="I117" s="15"/>
      <c r="J117" s="15"/>
      <c r="K117" s="15"/>
      <c r="L117" s="30"/>
      <c r="M117" s="15"/>
    </row>
    <row r="118" spans="1:13" ht="12.75">
      <c r="A118" s="29"/>
      <c r="B118" s="410"/>
      <c r="C118" s="15"/>
      <c r="D118" s="15"/>
      <c r="E118" s="15"/>
      <c r="F118" s="15"/>
      <c r="G118" s="15"/>
      <c r="H118" s="15"/>
      <c r="I118" s="15"/>
      <c r="J118" s="15"/>
      <c r="K118" s="15"/>
      <c r="L118" s="30"/>
      <c r="M118" s="15"/>
    </row>
    <row r="119" spans="1:13" ht="12.75">
      <c r="A119" s="29"/>
      <c r="B119" s="410"/>
      <c r="C119" s="15"/>
      <c r="D119" s="15"/>
      <c r="E119" s="15"/>
      <c r="F119" s="15"/>
      <c r="G119" s="15"/>
      <c r="H119" s="15"/>
      <c r="I119" s="15"/>
      <c r="J119" s="15"/>
      <c r="K119" s="15"/>
      <c r="L119" s="30"/>
      <c r="M119" s="15"/>
    </row>
    <row r="120" spans="1:13" ht="12.75">
      <c r="A120" s="29"/>
      <c r="B120" s="410"/>
      <c r="C120" s="15"/>
      <c r="D120" s="15"/>
      <c r="E120" s="15"/>
      <c r="F120" s="15"/>
      <c r="G120" s="15"/>
      <c r="H120" s="15"/>
      <c r="I120" s="15"/>
      <c r="J120" s="15"/>
      <c r="K120" s="15"/>
      <c r="L120" s="30"/>
      <c r="M120" s="15"/>
    </row>
    <row r="121" spans="1:13" ht="12.75">
      <c r="A121" s="29"/>
      <c r="B121" s="410"/>
      <c r="C121" s="15"/>
      <c r="D121" s="15"/>
      <c r="E121" s="15"/>
      <c r="F121" s="15"/>
      <c r="G121" s="15"/>
      <c r="H121" s="15"/>
      <c r="I121" s="15"/>
      <c r="J121" s="15"/>
      <c r="K121" s="15"/>
      <c r="L121" s="30"/>
      <c r="M121" s="15"/>
    </row>
    <row r="122" spans="1:13" ht="12.75">
      <c r="A122" s="29"/>
      <c r="B122" s="410"/>
      <c r="C122" s="15"/>
      <c r="D122" s="15"/>
      <c r="E122" s="15"/>
      <c r="F122" s="15"/>
      <c r="G122" s="15"/>
      <c r="H122" s="15"/>
      <c r="I122" s="15"/>
      <c r="J122" s="15"/>
      <c r="K122" s="15"/>
      <c r="L122" s="30"/>
      <c r="M122" s="15"/>
    </row>
    <row r="123" spans="1:13" ht="12.75">
      <c r="A123" s="29"/>
      <c r="B123" s="410"/>
      <c r="C123" s="15"/>
      <c r="D123" s="15"/>
      <c r="E123" s="15"/>
      <c r="F123" s="15"/>
      <c r="G123" s="15"/>
      <c r="H123" s="15"/>
      <c r="I123" s="15"/>
      <c r="J123" s="15"/>
      <c r="K123" s="15"/>
      <c r="L123" s="30"/>
      <c r="M123" s="15"/>
    </row>
    <row r="124" spans="1:13" ht="12.75">
      <c r="A124" s="29"/>
      <c r="B124" s="410"/>
      <c r="C124" s="15"/>
      <c r="D124" s="15"/>
      <c r="E124" s="15"/>
      <c r="F124" s="15"/>
      <c r="G124" s="15"/>
      <c r="H124" s="15"/>
      <c r="I124" s="15"/>
      <c r="J124" s="15"/>
      <c r="K124" s="15"/>
      <c r="L124" s="30"/>
      <c r="M124" s="15"/>
    </row>
    <row r="125" spans="1:13" ht="12.75">
      <c r="A125" s="29"/>
      <c r="B125" s="410"/>
      <c r="C125" s="15"/>
      <c r="D125" s="15"/>
      <c r="E125" s="15"/>
      <c r="F125" s="15"/>
      <c r="G125" s="15"/>
      <c r="H125" s="15"/>
      <c r="I125" s="15"/>
      <c r="J125" s="15"/>
      <c r="K125" s="15"/>
      <c r="L125" s="30"/>
      <c r="M125" s="15"/>
    </row>
    <row r="126" spans="1:13" ht="12.75">
      <c r="A126" s="29"/>
      <c r="B126" s="410"/>
      <c r="C126" s="15"/>
      <c r="D126" s="15"/>
      <c r="E126" s="15"/>
      <c r="F126" s="15"/>
      <c r="G126" s="15"/>
      <c r="H126" s="15"/>
      <c r="I126" s="15"/>
      <c r="J126" s="15"/>
      <c r="K126" s="15"/>
      <c r="L126" s="30"/>
      <c r="M126" s="15"/>
    </row>
    <row r="127" spans="1:13" ht="12.75">
      <c r="A127" s="29"/>
      <c r="B127" s="410"/>
      <c r="C127" s="15"/>
      <c r="D127" s="15"/>
      <c r="E127" s="15"/>
      <c r="F127" s="15"/>
      <c r="G127" s="15"/>
      <c r="H127" s="15"/>
      <c r="I127" s="15"/>
      <c r="J127" s="15"/>
      <c r="K127" s="15"/>
      <c r="L127" s="30"/>
      <c r="M127" s="15"/>
    </row>
  </sheetData>
  <sheetProtection/>
  <mergeCells count="24">
    <mergeCell ref="C72:L72"/>
    <mergeCell ref="C75:L75"/>
    <mergeCell ref="C20:L20"/>
    <mergeCell ref="C24:L24"/>
    <mergeCell ref="C35:L35"/>
    <mergeCell ref="C51:L51"/>
    <mergeCell ref="C57:L57"/>
    <mergeCell ref="C65:L65"/>
    <mergeCell ref="L3:L4"/>
    <mergeCell ref="M3:M4"/>
    <mergeCell ref="C5:L5"/>
    <mergeCell ref="C10:L10"/>
    <mergeCell ref="C16:L16"/>
    <mergeCell ref="C69:L69"/>
    <mergeCell ref="B3:B4"/>
    <mergeCell ref="C1:M1"/>
    <mergeCell ref="C2:M2"/>
    <mergeCell ref="A3:A4"/>
    <mergeCell ref="C3:C4"/>
    <mergeCell ref="D3:D4"/>
    <mergeCell ref="E3:E4"/>
    <mergeCell ref="F3:F4"/>
    <mergeCell ref="G3:G4"/>
    <mergeCell ref="H3:K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R6"/>
  <sheetViews>
    <sheetView workbookViewId="0" topLeftCell="A1">
      <selection activeCell="A3" sqref="A3:R4"/>
    </sheetView>
  </sheetViews>
  <sheetFormatPr defaultColWidth="8.75390625" defaultRowHeight="12.75"/>
  <cols>
    <col min="1" max="1" width="8.00390625" style="0" customWidth="1"/>
    <col min="2" max="2" width="22.125" style="15" customWidth="1"/>
    <col min="3" max="3" width="26.375" style="15" customWidth="1"/>
    <col min="4" max="4" width="10.625" style="15" bestFit="1" customWidth="1"/>
    <col min="5" max="5" width="8.375" style="15" bestFit="1" customWidth="1"/>
    <col min="6" max="6" width="22.75390625" style="15" bestFit="1" customWidth="1"/>
    <col min="7" max="7" width="24.75390625" style="15" customWidth="1"/>
    <col min="8" max="8" width="6.00390625" style="15" customWidth="1"/>
    <col min="9" max="10" width="5.75390625" style="15" customWidth="1"/>
    <col min="11" max="11" width="4.625" style="15" bestFit="1" customWidth="1"/>
    <col min="12" max="12" width="5.625" style="15" bestFit="1" customWidth="1"/>
    <col min="13" max="13" width="5.125" style="15" customWidth="1"/>
    <col min="14" max="14" width="4.875" style="15" customWidth="1"/>
    <col min="15" max="15" width="4.625" style="15" bestFit="1" customWidth="1"/>
    <col min="16" max="16" width="7.875" style="15" bestFit="1" customWidth="1"/>
    <col min="17" max="17" width="8.625" style="15" bestFit="1" customWidth="1"/>
    <col min="18" max="18" width="11.75390625" style="15" bestFit="1" customWidth="1"/>
  </cols>
  <sheetData>
    <row r="1" spans="2:18" s="1" customFormat="1" ht="15" customHeight="1">
      <c r="B1" s="552" t="s">
        <v>3762</v>
      </c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</row>
    <row r="2" spans="2:18" s="1" customFormat="1" ht="105.75" customHeight="1" thickBot="1"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</row>
    <row r="3" spans="1:18" s="2" customFormat="1" ht="15.75" customHeight="1">
      <c r="A3" s="546" t="s">
        <v>1627</v>
      </c>
      <c r="B3" s="542" t="s">
        <v>0</v>
      </c>
      <c r="C3" s="548" t="s">
        <v>1628</v>
      </c>
      <c r="D3" s="548" t="s">
        <v>1629</v>
      </c>
      <c r="E3" s="542" t="s">
        <v>9</v>
      </c>
      <c r="F3" s="542" t="s">
        <v>7</v>
      </c>
      <c r="G3" s="514" t="s">
        <v>3275</v>
      </c>
      <c r="H3" s="542" t="s">
        <v>2</v>
      </c>
      <c r="I3" s="542"/>
      <c r="J3" s="542"/>
      <c r="K3" s="542"/>
      <c r="L3" s="542" t="s">
        <v>3</v>
      </c>
      <c r="M3" s="542"/>
      <c r="N3" s="542"/>
      <c r="O3" s="542"/>
      <c r="P3" s="542" t="s">
        <v>4</v>
      </c>
      <c r="Q3" s="542" t="s">
        <v>6</v>
      </c>
      <c r="R3" s="544" t="s">
        <v>5</v>
      </c>
    </row>
    <row r="4" spans="1:18" s="2" customFormat="1" ht="21" customHeight="1" thickBot="1">
      <c r="A4" s="547"/>
      <c r="B4" s="543"/>
      <c r="C4" s="543"/>
      <c r="D4" s="549"/>
      <c r="E4" s="543"/>
      <c r="F4" s="543"/>
      <c r="G4" s="515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543"/>
      <c r="Q4" s="543"/>
      <c r="R4" s="545"/>
    </row>
    <row r="5" spans="2:17" ht="15.75">
      <c r="B5" s="557" t="s">
        <v>59</v>
      </c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</row>
    <row r="6" spans="1:18" ht="12.75">
      <c r="A6" s="29">
        <v>1</v>
      </c>
      <c r="B6" s="20" t="s">
        <v>3884</v>
      </c>
      <c r="C6" s="20" t="s">
        <v>156</v>
      </c>
      <c r="D6" s="20" t="s">
        <v>1677</v>
      </c>
      <c r="E6" s="20" t="str">
        <f>"0,6410"</f>
        <v>0,6410</v>
      </c>
      <c r="F6" s="20" t="s">
        <v>31</v>
      </c>
      <c r="G6" s="20" t="s">
        <v>1675</v>
      </c>
      <c r="H6" s="45" t="s">
        <v>190</v>
      </c>
      <c r="I6" s="134" t="s">
        <v>190</v>
      </c>
      <c r="J6" s="45" t="s">
        <v>191</v>
      </c>
      <c r="K6" s="31"/>
      <c r="L6" s="134" t="s">
        <v>319</v>
      </c>
      <c r="M6" s="134" t="s">
        <v>992</v>
      </c>
      <c r="N6" s="134" t="s">
        <v>341</v>
      </c>
      <c r="O6" s="31"/>
      <c r="P6" s="33" t="s">
        <v>1566</v>
      </c>
      <c r="Q6" s="33" t="s">
        <v>2135</v>
      </c>
      <c r="R6" s="20" t="s">
        <v>158</v>
      </c>
    </row>
  </sheetData>
  <sheetProtection/>
  <mergeCells count="14">
    <mergeCell ref="H3:K3"/>
    <mergeCell ref="L3:O3"/>
    <mergeCell ref="A3:A4"/>
    <mergeCell ref="P3:P4"/>
    <mergeCell ref="Q3:Q4"/>
    <mergeCell ref="R3:R4"/>
    <mergeCell ref="B5:Q5"/>
    <mergeCell ref="B1:R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A3" sqref="A3:S4"/>
    </sheetView>
  </sheetViews>
  <sheetFormatPr defaultColWidth="8.75390625" defaultRowHeight="12.75"/>
  <cols>
    <col min="1" max="1" width="7.375" style="29" customWidth="1"/>
    <col min="2" max="2" width="11.125" style="410" customWidth="1"/>
    <col min="3" max="3" width="22.125" style="15" customWidth="1"/>
    <col min="4" max="4" width="26.875" style="15" bestFit="1" customWidth="1"/>
    <col min="5" max="5" width="9.75390625" style="15" customWidth="1"/>
    <col min="6" max="6" width="8.375" style="15" bestFit="1" customWidth="1"/>
    <col min="7" max="7" width="16.625" style="15" customWidth="1"/>
    <col min="8" max="8" width="28.125" style="15" customWidth="1"/>
    <col min="9" max="11" width="5.625" style="15" bestFit="1" customWidth="1"/>
    <col min="12" max="12" width="4.625" style="15" bestFit="1" customWidth="1"/>
    <col min="13" max="15" width="5.625" style="15" bestFit="1" customWidth="1"/>
    <col min="16" max="16" width="4.625" style="15" bestFit="1" customWidth="1"/>
    <col min="17" max="17" width="7.875" style="15" bestFit="1" customWidth="1"/>
    <col min="18" max="18" width="8.625" style="15" bestFit="1" customWidth="1"/>
    <col min="19" max="19" width="15.75390625" style="15" bestFit="1" customWidth="1"/>
  </cols>
  <sheetData>
    <row r="1" spans="1:19" s="1" customFormat="1" ht="15" customHeight="1">
      <c r="A1" s="28"/>
      <c r="B1" s="443"/>
      <c r="C1" s="552" t="s">
        <v>2113</v>
      </c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</row>
    <row r="2" spans="1:19" s="1" customFormat="1" ht="108" customHeight="1" thickBot="1">
      <c r="A2" s="28"/>
      <c r="B2" s="44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</row>
    <row r="3" spans="1:19" s="2" customFormat="1" ht="12.75" customHeight="1">
      <c r="A3" s="546" t="s">
        <v>1627</v>
      </c>
      <c r="B3" s="516" t="s">
        <v>4516</v>
      </c>
      <c r="C3" s="542" t="s">
        <v>0</v>
      </c>
      <c r="D3" s="548" t="s">
        <v>1628</v>
      </c>
      <c r="E3" s="548" t="s">
        <v>1629</v>
      </c>
      <c r="F3" s="542" t="s">
        <v>9</v>
      </c>
      <c r="G3" s="542" t="s">
        <v>7</v>
      </c>
      <c r="H3" s="514" t="s">
        <v>3275</v>
      </c>
      <c r="I3" s="542" t="s">
        <v>2</v>
      </c>
      <c r="J3" s="542"/>
      <c r="K3" s="542"/>
      <c r="L3" s="542"/>
      <c r="M3" s="542" t="s">
        <v>3</v>
      </c>
      <c r="N3" s="542"/>
      <c r="O3" s="542"/>
      <c r="P3" s="542"/>
      <c r="Q3" s="542" t="s">
        <v>4</v>
      </c>
      <c r="R3" s="542" t="s">
        <v>6</v>
      </c>
      <c r="S3" s="544" t="s">
        <v>5</v>
      </c>
    </row>
    <row r="4" spans="1:19" s="2" customFormat="1" ht="21" customHeight="1" thickBot="1">
      <c r="A4" s="547"/>
      <c r="B4" s="517"/>
      <c r="C4" s="543"/>
      <c r="D4" s="543"/>
      <c r="E4" s="549"/>
      <c r="F4" s="543"/>
      <c r="G4" s="543"/>
      <c r="H4" s="515"/>
      <c r="I4" s="3">
        <v>1</v>
      </c>
      <c r="J4" s="3">
        <v>2</v>
      </c>
      <c r="K4" s="3">
        <v>3</v>
      </c>
      <c r="L4" s="3" t="s">
        <v>8</v>
      </c>
      <c r="M4" s="3">
        <v>1</v>
      </c>
      <c r="N4" s="3">
        <v>2</v>
      </c>
      <c r="O4" s="3">
        <v>3</v>
      </c>
      <c r="P4" s="3" t="s">
        <v>8</v>
      </c>
      <c r="Q4" s="543"/>
      <c r="R4" s="543"/>
      <c r="S4" s="545"/>
    </row>
    <row r="5" spans="3:18" ht="15.75">
      <c r="C5" s="526" t="s">
        <v>42</v>
      </c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</row>
    <row r="6" spans="1:19" ht="12.75">
      <c r="A6" s="29">
        <v>1</v>
      </c>
      <c r="B6" s="410">
        <v>36</v>
      </c>
      <c r="C6" s="20" t="s">
        <v>4247</v>
      </c>
      <c r="D6" s="20" t="s">
        <v>803</v>
      </c>
      <c r="E6" s="20" t="s">
        <v>57</v>
      </c>
      <c r="F6" s="20" t="str">
        <f>"0,9506"</f>
        <v>0,9506</v>
      </c>
      <c r="G6" s="20" t="s">
        <v>14</v>
      </c>
      <c r="H6" s="20" t="s">
        <v>1694</v>
      </c>
      <c r="I6" s="134" t="s">
        <v>127</v>
      </c>
      <c r="J6" s="134" t="s">
        <v>108</v>
      </c>
      <c r="K6" s="31"/>
      <c r="L6" s="31"/>
      <c r="M6" s="134" t="s">
        <v>238</v>
      </c>
      <c r="N6" s="45" t="s">
        <v>319</v>
      </c>
      <c r="O6" s="31"/>
      <c r="P6" s="31"/>
      <c r="Q6" s="33" t="s">
        <v>801</v>
      </c>
      <c r="R6" s="33" t="str">
        <f>"399,2520"</f>
        <v>399,2520</v>
      </c>
      <c r="S6" s="20" t="s">
        <v>51</v>
      </c>
    </row>
    <row r="8" spans="3:18" ht="15.75">
      <c r="C8" s="541" t="s">
        <v>116</v>
      </c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</row>
    <row r="9" spans="1:19" ht="12.75">
      <c r="A9" s="29">
        <v>1</v>
      </c>
      <c r="B9" s="410">
        <v>12</v>
      </c>
      <c r="C9" s="20" t="s">
        <v>4423</v>
      </c>
      <c r="D9" s="20" t="s">
        <v>892</v>
      </c>
      <c r="E9" s="20" t="s">
        <v>1692</v>
      </c>
      <c r="F9" s="20" t="str">
        <f>"0,6724"</f>
        <v>0,6724</v>
      </c>
      <c r="G9" s="20" t="s">
        <v>2104</v>
      </c>
      <c r="H9" s="20" t="s">
        <v>893</v>
      </c>
      <c r="I9" s="134" t="s">
        <v>64</v>
      </c>
      <c r="J9" s="134" t="s">
        <v>268</v>
      </c>
      <c r="K9" s="134" t="s">
        <v>555</v>
      </c>
      <c r="L9" s="31"/>
      <c r="M9" s="134" t="s">
        <v>317</v>
      </c>
      <c r="N9" s="134" t="s">
        <v>319</v>
      </c>
      <c r="O9" s="45" t="s">
        <v>845</v>
      </c>
      <c r="P9" s="31"/>
      <c r="Q9" s="33">
        <v>422.5</v>
      </c>
      <c r="R9" s="33" t="str">
        <f>"316,4751"</f>
        <v>316,4751</v>
      </c>
      <c r="S9" s="20" t="s">
        <v>1674</v>
      </c>
    </row>
    <row r="11" spans="3:18" ht="15.75">
      <c r="C11" s="541" t="s">
        <v>59</v>
      </c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</row>
    <row r="12" spans="1:19" ht="12.75">
      <c r="A12" s="29">
        <v>1</v>
      </c>
      <c r="C12" s="20" t="s">
        <v>4256</v>
      </c>
      <c r="D12" s="20" t="s">
        <v>156</v>
      </c>
      <c r="E12" s="20" t="s">
        <v>1677</v>
      </c>
      <c r="F12" s="20" t="str">
        <f>"0,6410"</f>
        <v>0,6410</v>
      </c>
      <c r="G12" s="20" t="s">
        <v>31</v>
      </c>
      <c r="H12" s="20" t="s">
        <v>1675</v>
      </c>
      <c r="I12" s="45" t="s">
        <v>190</v>
      </c>
      <c r="J12" s="134" t="s">
        <v>190</v>
      </c>
      <c r="K12" s="45" t="s">
        <v>191</v>
      </c>
      <c r="L12" s="31"/>
      <c r="M12" s="134" t="s">
        <v>319</v>
      </c>
      <c r="N12" s="134" t="s">
        <v>992</v>
      </c>
      <c r="O12" s="134" t="s">
        <v>341</v>
      </c>
      <c r="P12" s="31"/>
      <c r="Q12" s="33" t="s">
        <v>1566</v>
      </c>
      <c r="R12" s="33" t="s">
        <v>2135</v>
      </c>
      <c r="S12" s="20" t="s">
        <v>158</v>
      </c>
    </row>
    <row r="14" spans="3:18" ht="15.75">
      <c r="C14" s="541" t="s">
        <v>227</v>
      </c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1"/>
    </row>
    <row r="15" spans="1:19" ht="12.75">
      <c r="A15" s="29">
        <v>1</v>
      </c>
      <c r="B15" s="410">
        <v>12</v>
      </c>
      <c r="C15" s="20" t="s">
        <v>4424</v>
      </c>
      <c r="D15" s="20" t="s">
        <v>1595</v>
      </c>
      <c r="E15" s="20" t="s">
        <v>1693</v>
      </c>
      <c r="F15" s="20" t="str">
        <f>"0,5907"</f>
        <v>0,5907</v>
      </c>
      <c r="G15" s="20" t="s">
        <v>14</v>
      </c>
      <c r="H15" s="20" t="s">
        <v>1643</v>
      </c>
      <c r="I15" s="134" t="s">
        <v>303</v>
      </c>
      <c r="J15" s="31"/>
      <c r="K15" s="31"/>
      <c r="L15" s="31"/>
      <c r="M15" s="134" t="s">
        <v>860</v>
      </c>
      <c r="N15" s="134" t="s">
        <v>836</v>
      </c>
      <c r="O15" s="45" t="s">
        <v>914</v>
      </c>
      <c r="P15" s="31"/>
      <c r="Q15" s="33" t="s">
        <v>801</v>
      </c>
      <c r="R15" s="33" t="str">
        <f>"248,0940"</f>
        <v>248,0940</v>
      </c>
      <c r="S15" s="20" t="s">
        <v>51</v>
      </c>
    </row>
  </sheetData>
  <sheetProtection/>
  <mergeCells count="18">
    <mergeCell ref="B3:B4"/>
    <mergeCell ref="C14:R14"/>
    <mergeCell ref="Q3:Q4"/>
    <mergeCell ref="R3:R4"/>
    <mergeCell ref="S3:S4"/>
    <mergeCell ref="C5:R5"/>
    <mergeCell ref="C8:R8"/>
    <mergeCell ref="C11:R11"/>
    <mergeCell ref="A3:A4"/>
    <mergeCell ref="C1:S2"/>
    <mergeCell ref="C3:C4"/>
    <mergeCell ref="D3:D4"/>
    <mergeCell ref="E3:E4"/>
    <mergeCell ref="F3:F4"/>
    <mergeCell ref="G3:G4"/>
    <mergeCell ref="H3:H4"/>
    <mergeCell ref="I3:L3"/>
    <mergeCell ref="M3:P3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S85"/>
  <sheetViews>
    <sheetView workbookViewId="0" topLeftCell="A29">
      <selection activeCell="C44" sqref="C44"/>
    </sheetView>
  </sheetViews>
  <sheetFormatPr defaultColWidth="8.75390625" defaultRowHeight="12.75"/>
  <cols>
    <col min="1" max="1" width="8.00390625" style="29" customWidth="1"/>
    <col min="2" max="2" width="11.375" style="445" customWidth="1"/>
    <col min="3" max="3" width="23.625" style="15" customWidth="1"/>
    <col min="4" max="4" width="27.125" style="15" bestFit="1" customWidth="1"/>
    <col min="5" max="5" width="10.625" style="15" bestFit="1" customWidth="1"/>
    <col min="6" max="6" width="8.375" style="15" bestFit="1" customWidth="1"/>
    <col min="7" max="7" width="27.00390625" style="15" customWidth="1"/>
    <col min="8" max="8" width="32.875" style="15" customWidth="1"/>
    <col min="9" max="16" width="5.625" style="15" bestFit="1" customWidth="1"/>
    <col min="17" max="17" width="7.875" style="30" bestFit="1" customWidth="1"/>
    <col min="18" max="18" width="8.625" style="15" bestFit="1" customWidth="1"/>
    <col min="19" max="19" width="19.00390625" style="15" customWidth="1"/>
  </cols>
  <sheetData>
    <row r="1" spans="1:19" s="1" customFormat="1" ht="15" customHeight="1">
      <c r="A1" s="28"/>
      <c r="B1" s="443"/>
      <c r="C1" s="552" t="s">
        <v>2116</v>
      </c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</row>
    <row r="2" spans="1:19" s="1" customFormat="1" ht="108.75" customHeight="1" thickBot="1">
      <c r="A2" s="28"/>
      <c r="B2" s="44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</row>
    <row r="3" spans="1:19" s="2" customFormat="1" ht="12.75" customHeight="1">
      <c r="A3" s="546" t="s">
        <v>1627</v>
      </c>
      <c r="B3" s="516" t="s">
        <v>4516</v>
      </c>
      <c r="C3" s="542" t="s">
        <v>0</v>
      </c>
      <c r="D3" s="548" t="s">
        <v>1628</v>
      </c>
      <c r="E3" s="548" t="s">
        <v>1629</v>
      </c>
      <c r="F3" s="542" t="s">
        <v>9</v>
      </c>
      <c r="G3" s="542" t="s">
        <v>7</v>
      </c>
      <c r="H3" s="514" t="s">
        <v>3275</v>
      </c>
      <c r="I3" s="542" t="s">
        <v>2</v>
      </c>
      <c r="J3" s="542"/>
      <c r="K3" s="542"/>
      <c r="L3" s="542"/>
      <c r="M3" s="542" t="s">
        <v>3</v>
      </c>
      <c r="N3" s="542"/>
      <c r="O3" s="542"/>
      <c r="P3" s="542"/>
      <c r="Q3" s="550" t="s">
        <v>4</v>
      </c>
      <c r="R3" s="542" t="s">
        <v>6</v>
      </c>
      <c r="S3" s="544" t="s">
        <v>5</v>
      </c>
    </row>
    <row r="4" spans="1:19" s="2" customFormat="1" ht="21" customHeight="1" thickBot="1">
      <c r="A4" s="547"/>
      <c r="B4" s="517"/>
      <c r="C4" s="543"/>
      <c r="D4" s="543"/>
      <c r="E4" s="549"/>
      <c r="F4" s="543"/>
      <c r="G4" s="543"/>
      <c r="H4" s="515"/>
      <c r="I4" s="3">
        <v>1</v>
      </c>
      <c r="J4" s="3">
        <v>2</v>
      </c>
      <c r="K4" s="3">
        <v>3</v>
      </c>
      <c r="L4" s="3" t="s">
        <v>8</v>
      </c>
      <c r="M4" s="3">
        <v>1</v>
      </c>
      <c r="N4" s="3">
        <v>2</v>
      </c>
      <c r="O4" s="3">
        <v>3</v>
      </c>
      <c r="P4" s="3" t="s">
        <v>8</v>
      </c>
      <c r="Q4" s="551"/>
      <c r="R4" s="543"/>
      <c r="S4" s="545"/>
    </row>
    <row r="5" spans="2:18" ht="15.75">
      <c r="B5" s="410"/>
      <c r="C5" s="526" t="s">
        <v>66</v>
      </c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</row>
    <row r="6" spans="1:19" ht="12.75">
      <c r="A6" s="97">
        <v>1</v>
      </c>
      <c r="B6" s="469">
        <v>12</v>
      </c>
      <c r="C6" s="17" t="s">
        <v>4534</v>
      </c>
      <c r="D6" s="84" t="s">
        <v>1570</v>
      </c>
      <c r="E6" s="17" t="s">
        <v>1705</v>
      </c>
      <c r="F6" s="84" t="str">
        <f>"1,2597"</f>
        <v>1,2597</v>
      </c>
      <c r="G6" s="17" t="s">
        <v>125</v>
      </c>
      <c r="H6" s="84" t="s">
        <v>445</v>
      </c>
      <c r="I6" s="138" t="s">
        <v>71</v>
      </c>
      <c r="J6" s="85" t="s">
        <v>421</v>
      </c>
      <c r="K6" s="46" t="s">
        <v>421</v>
      </c>
      <c r="L6" s="86"/>
      <c r="M6" s="138" t="s">
        <v>33</v>
      </c>
      <c r="N6" s="147" t="s">
        <v>303</v>
      </c>
      <c r="O6" s="138" t="s">
        <v>471</v>
      </c>
      <c r="P6" s="86"/>
      <c r="Q6" s="44">
        <v>150</v>
      </c>
      <c r="R6" s="87" t="s">
        <v>2118</v>
      </c>
      <c r="S6" s="17" t="s">
        <v>1699</v>
      </c>
    </row>
    <row r="7" spans="1:19" ht="12.75">
      <c r="A7" s="97">
        <v>2</v>
      </c>
      <c r="B7" s="469">
        <v>9</v>
      </c>
      <c r="C7" s="19" t="s">
        <v>4535</v>
      </c>
      <c r="D7" s="98" t="s">
        <v>1433</v>
      </c>
      <c r="E7" s="19" t="s">
        <v>1705</v>
      </c>
      <c r="F7" s="98" t="str">
        <f>"1,2597"</f>
        <v>1,2597</v>
      </c>
      <c r="G7" s="19" t="s">
        <v>125</v>
      </c>
      <c r="H7" s="98" t="s">
        <v>445</v>
      </c>
      <c r="I7" s="139" t="s">
        <v>39</v>
      </c>
      <c r="J7" s="148" t="s">
        <v>15</v>
      </c>
      <c r="K7" s="48" t="s">
        <v>40</v>
      </c>
      <c r="L7" s="99"/>
      <c r="M7" s="139" t="s">
        <v>33</v>
      </c>
      <c r="N7" s="148" t="s">
        <v>452</v>
      </c>
      <c r="O7" s="139" t="s">
        <v>471</v>
      </c>
      <c r="P7" s="99"/>
      <c r="Q7" s="43">
        <v>140</v>
      </c>
      <c r="R7" s="100" t="str">
        <f>"176,3580"</f>
        <v>176,3580</v>
      </c>
      <c r="S7" s="19" t="s">
        <v>1698</v>
      </c>
    </row>
    <row r="8" ht="12.75">
      <c r="B8" s="470"/>
    </row>
    <row r="9" spans="2:18" ht="15.75">
      <c r="B9" s="469"/>
      <c r="C9" s="541" t="s">
        <v>10</v>
      </c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</row>
    <row r="10" spans="1:19" ht="12.75">
      <c r="A10" s="29">
        <v>1</v>
      </c>
      <c r="B10" s="469">
        <v>24</v>
      </c>
      <c r="C10" s="17" t="s">
        <v>4137</v>
      </c>
      <c r="D10" s="17" t="s">
        <v>443</v>
      </c>
      <c r="E10" s="17" t="s">
        <v>1706</v>
      </c>
      <c r="F10" s="17" t="str">
        <f>"1,1900"</f>
        <v>1,1900</v>
      </c>
      <c r="G10" s="17" t="s">
        <v>125</v>
      </c>
      <c r="H10" s="17" t="s">
        <v>445</v>
      </c>
      <c r="I10" s="138" t="s">
        <v>56</v>
      </c>
      <c r="J10" s="46" t="s">
        <v>57</v>
      </c>
      <c r="K10" s="46" t="s">
        <v>57</v>
      </c>
      <c r="L10" s="36"/>
      <c r="M10" s="138" t="s">
        <v>446</v>
      </c>
      <c r="N10" s="138" t="s">
        <v>447</v>
      </c>
      <c r="O10" s="138" t="s">
        <v>100</v>
      </c>
      <c r="P10" s="36"/>
      <c r="Q10" s="44">
        <v>200</v>
      </c>
      <c r="R10" s="35" t="s">
        <v>2119</v>
      </c>
      <c r="S10" s="17" t="s">
        <v>1699</v>
      </c>
    </row>
    <row r="11" spans="2:19" ht="12.75">
      <c r="B11" s="469"/>
      <c r="C11" s="19" t="s">
        <v>1571</v>
      </c>
      <c r="D11" s="19" t="s">
        <v>1572</v>
      </c>
      <c r="E11" s="19" t="s">
        <v>1707</v>
      </c>
      <c r="F11" s="19" t="str">
        <f>"1,2019"</f>
        <v>1,2019</v>
      </c>
      <c r="G11" s="19" t="s">
        <v>31</v>
      </c>
      <c r="H11" s="19" t="s">
        <v>1573</v>
      </c>
      <c r="I11" s="48" t="s">
        <v>421</v>
      </c>
      <c r="J11" s="139" t="s">
        <v>432</v>
      </c>
      <c r="K11" s="48" t="s">
        <v>419</v>
      </c>
      <c r="L11" s="42"/>
      <c r="M11" s="48" t="s">
        <v>139</v>
      </c>
      <c r="N11" s="48" t="s">
        <v>447</v>
      </c>
      <c r="O11" s="42"/>
      <c r="P11" s="42"/>
      <c r="Q11" s="51">
        <v>0</v>
      </c>
      <c r="R11" s="41" t="s">
        <v>1639</v>
      </c>
      <c r="S11" s="19" t="s">
        <v>1700</v>
      </c>
    </row>
    <row r="12" ht="12.75">
      <c r="B12" s="470"/>
    </row>
    <row r="13" spans="2:18" ht="15.75">
      <c r="B13" s="469"/>
      <c r="C13" s="541" t="s">
        <v>80</v>
      </c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19" ht="12.75">
      <c r="A14" s="29">
        <v>1</v>
      </c>
      <c r="B14" s="469">
        <v>12</v>
      </c>
      <c r="C14" s="17" t="s">
        <v>4536</v>
      </c>
      <c r="D14" s="17" t="s">
        <v>1574</v>
      </c>
      <c r="E14" s="17" t="s">
        <v>1708</v>
      </c>
      <c r="F14" s="17" t="str">
        <f>"1,1447"</f>
        <v>1,1447</v>
      </c>
      <c r="G14" s="17" t="s">
        <v>2104</v>
      </c>
      <c r="H14" s="17" t="s">
        <v>1643</v>
      </c>
      <c r="I14" s="138" t="s">
        <v>71</v>
      </c>
      <c r="J14" s="138" t="s">
        <v>432</v>
      </c>
      <c r="K14" s="46" t="s">
        <v>419</v>
      </c>
      <c r="L14" s="36"/>
      <c r="M14" s="138" t="s">
        <v>24</v>
      </c>
      <c r="N14" s="138" t="s">
        <v>446</v>
      </c>
      <c r="O14" s="46" t="s">
        <v>88</v>
      </c>
      <c r="P14" s="36"/>
      <c r="Q14" s="44">
        <v>165</v>
      </c>
      <c r="R14" s="35" t="s">
        <v>2124</v>
      </c>
      <c r="S14" s="17" t="s">
        <v>1670</v>
      </c>
    </row>
    <row r="15" spans="1:19" ht="12.75">
      <c r="A15" s="29">
        <v>1</v>
      </c>
      <c r="B15" s="469">
        <v>30</v>
      </c>
      <c r="C15" s="19" t="s">
        <v>4537</v>
      </c>
      <c r="D15" s="19" t="s">
        <v>1080</v>
      </c>
      <c r="E15" s="19" t="s">
        <v>1709</v>
      </c>
      <c r="F15" s="19" t="str">
        <f>"1,1163"</f>
        <v>1,1163</v>
      </c>
      <c r="G15" s="19" t="s">
        <v>2104</v>
      </c>
      <c r="H15" s="19" t="s">
        <v>893</v>
      </c>
      <c r="I15" s="139" t="s">
        <v>416</v>
      </c>
      <c r="J15" s="48" t="s">
        <v>56</v>
      </c>
      <c r="K15" s="139" t="s">
        <v>56</v>
      </c>
      <c r="L15" s="42"/>
      <c r="M15" s="139" t="s">
        <v>183</v>
      </c>
      <c r="N15" s="139" t="s">
        <v>153</v>
      </c>
      <c r="O15" s="48" t="s">
        <v>126</v>
      </c>
      <c r="P15" s="42"/>
      <c r="Q15" s="43">
        <v>242.5</v>
      </c>
      <c r="R15" s="41" t="str">
        <f>"270,7027"</f>
        <v>270,7027</v>
      </c>
      <c r="S15" s="19" t="s">
        <v>1701</v>
      </c>
    </row>
    <row r="16" ht="12.75">
      <c r="B16" s="470"/>
    </row>
    <row r="17" spans="2:18" ht="15.75">
      <c r="B17" s="469"/>
      <c r="C17" s="541" t="s">
        <v>18</v>
      </c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41"/>
      <c r="P17" s="541"/>
      <c r="Q17" s="541"/>
      <c r="R17" s="541"/>
    </row>
    <row r="18" spans="1:19" ht="12.75">
      <c r="A18" s="29">
        <v>1</v>
      </c>
      <c r="B18" s="469">
        <v>12</v>
      </c>
      <c r="C18" s="20" t="s">
        <v>4538</v>
      </c>
      <c r="D18" s="20" t="s">
        <v>478</v>
      </c>
      <c r="E18" s="20" t="s">
        <v>1710</v>
      </c>
      <c r="F18" s="20" t="str">
        <f>"1,0980"</f>
        <v>1,0980</v>
      </c>
      <c r="G18" s="20" t="s">
        <v>125</v>
      </c>
      <c r="H18" s="20" t="s">
        <v>445</v>
      </c>
      <c r="I18" s="45" t="s">
        <v>424</v>
      </c>
      <c r="J18" s="45" t="s">
        <v>424</v>
      </c>
      <c r="K18" s="134" t="s">
        <v>424</v>
      </c>
      <c r="L18" s="31"/>
      <c r="M18" s="134" t="s">
        <v>88</v>
      </c>
      <c r="N18" s="134" t="s">
        <v>89</v>
      </c>
      <c r="O18" s="45" t="s">
        <v>480</v>
      </c>
      <c r="P18" s="31"/>
      <c r="Q18" s="34">
        <v>192.5</v>
      </c>
      <c r="R18" s="33" t="str">
        <f>"211,3650"</f>
        <v>211,3650</v>
      </c>
      <c r="S18" s="20" t="s">
        <v>1698</v>
      </c>
    </row>
    <row r="19" ht="12.75">
      <c r="B19" s="470"/>
    </row>
    <row r="20" spans="2:18" ht="15.75">
      <c r="B20" s="469"/>
      <c r="C20" s="541" t="s">
        <v>116</v>
      </c>
      <c r="D20" s="541"/>
      <c r="E20" s="541"/>
      <c r="F20" s="541"/>
      <c r="G20" s="541"/>
      <c r="H20" s="541"/>
      <c r="I20" s="541"/>
      <c r="J20" s="541"/>
      <c r="K20" s="541"/>
      <c r="L20" s="541"/>
      <c r="M20" s="541"/>
      <c r="N20" s="541"/>
      <c r="O20" s="541"/>
      <c r="P20" s="541"/>
      <c r="Q20" s="541"/>
      <c r="R20" s="541"/>
    </row>
    <row r="21" spans="1:19" ht="12.75">
      <c r="A21" s="29">
        <v>1</v>
      </c>
      <c r="B21" s="469">
        <v>12</v>
      </c>
      <c r="C21" s="20" t="s">
        <v>1575</v>
      </c>
      <c r="D21" s="20" t="s">
        <v>1576</v>
      </c>
      <c r="E21" s="20" t="s">
        <v>1711</v>
      </c>
      <c r="F21" s="20" t="str">
        <f>"0,9163"</f>
        <v>0,9163</v>
      </c>
      <c r="G21" s="20" t="s">
        <v>125</v>
      </c>
      <c r="H21" s="20" t="s">
        <v>445</v>
      </c>
      <c r="I21" s="134" t="s">
        <v>16</v>
      </c>
      <c r="J21" s="45" t="s">
        <v>71</v>
      </c>
      <c r="K21" s="45" t="s">
        <v>71</v>
      </c>
      <c r="L21" s="31"/>
      <c r="M21" s="134" t="s">
        <v>474</v>
      </c>
      <c r="N21" s="45" t="s">
        <v>33</v>
      </c>
      <c r="O21" s="45" t="s">
        <v>33</v>
      </c>
      <c r="P21" s="31"/>
      <c r="Q21" s="34">
        <v>125</v>
      </c>
      <c r="R21" s="33" t="str">
        <f>"114,5375"</f>
        <v>114,5375</v>
      </c>
      <c r="S21" s="20" t="s">
        <v>1698</v>
      </c>
    </row>
    <row r="22" ht="12.75">
      <c r="B22" s="470"/>
    </row>
    <row r="23" spans="2:18" ht="15.75">
      <c r="B23" s="469"/>
      <c r="C23" s="541" t="s">
        <v>18</v>
      </c>
      <c r="D23" s="541"/>
      <c r="E23" s="541"/>
      <c r="F23" s="541"/>
      <c r="G23" s="541"/>
      <c r="H23" s="541"/>
      <c r="I23" s="541"/>
      <c r="J23" s="541"/>
      <c r="K23" s="541"/>
      <c r="L23" s="541"/>
      <c r="M23" s="541"/>
      <c r="N23" s="541"/>
      <c r="O23" s="541"/>
      <c r="P23" s="541"/>
      <c r="Q23" s="541"/>
      <c r="R23" s="541"/>
    </row>
    <row r="24" spans="1:19" ht="12.75">
      <c r="A24" s="29">
        <v>1</v>
      </c>
      <c r="B24" s="469">
        <v>12</v>
      </c>
      <c r="C24" s="20" t="s">
        <v>4160</v>
      </c>
      <c r="D24" s="20" t="s">
        <v>529</v>
      </c>
      <c r="E24" s="20" t="s">
        <v>1712</v>
      </c>
      <c r="F24" s="20" t="str">
        <f>"0,7901"</f>
        <v>0,7901</v>
      </c>
      <c r="G24" s="20" t="s">
        <v>130</v>
      </c>
      <c r="H24" s="20" t="s">
        <v>1643</v>
      </c>
      <c r="I24" s="134" t="s">
        <v>544</v>
      </c>
      <c r="J24" s="45" t="s">
        <v>446</v>
      </c>
      <c r="K24" s="45" t="s">
        <v>446</v>
      </c>
      <c r="L24" s="31"/>
      <c r="M24" s="134" t="s">
        <v>183</v>
      </c>
      <c r="N24" s="134" t="s">
        <v>153</v>
      </c>
      <c r="O24" s="45" t="s">
        <v>126</v>
      </c>
      <c r="P24" s="31"/>
      <c r="Q24" s="32">
        <v>282.5</v>
      </c>
      <c r="R24" s="33" t="s">
        <v>2120</v>
      </c>
      <c r="S24" s="20" t="s">
        <v>1702</v>
      </c>
    </row>
    <row r="25" ht="12.75">
      <c r="B25" s="470"/>
    </row>
    <row r="26" spans="2:18" ht="15.75">
      <c r="B26" s="469"/>
      <c r="C26" s="541" t="s">
        <v>42</v>
      </c>
      <c r="D26" s="541"/>
      <c r="E26" s="541"/>
      <c r="F26" s="541"/>
      <c r="G26" s="541"/>
      <c r="H26" s="541"/>
      <c r="I26" s="541"/>
      <c r="J26" s="541"/>
      <c r="K26" s="541"/>
      <c r="L26" s="541"/>
      <c r="M26" s="541"/>
      <c r="N26" s="541"/>
      <c r="O26" s="541"/>
      <c r="P26" s="541"/>
      <c r="Q26" s="541"/>
      <c r="R26" s="541"/>
    </row>
    <row r="27" spans="1:19" ht="12.75">
      <c r="A27" s="29">
        <v>1</v>
      </c>
      <c r="B27" s="469">
        <v>12</v>
      </c>
      <c r="C27" s="20" t="s">
        <v>4169</v>
      </c>
      <c r="D27" s="20" t="s">
        <v>1473</v>
      </c>
      <c r="E27" s="20" t="s">
        <v>1713</v>
      </c>
      <c r="F27" s="20" t="str">
        <f>"0,7228"</f>
        <v>0,7228</v>
      </c>
      <c r="G27" s="20" t="s">
        <v>125</v>
      </c>
      <c r="H27" s="20" t="s">
        <v>445</v>
      </c>
      <c r="I27" s="134" t="s">
        <v>303</v>
      </c>
      <c r="J27" s="45" t="s">
        <v>544</v>
      </c>
      <c r="K27" s="45" t="s">
        <v>544</v>
      </c>
      <c r="L27" s="31"/>
      <c r="M27" s="134" t="s">
        <v>127</v>
      </c>
      <c r="N27" s="45" t="s">
        <v>175</v>
      </c>
      <c r="O27" s="45" t="s">
        <v>175</v>
      </c>
      <c r="P27" s="31"/>
      <c r="Q27" s="34">
        <v>280</v>
      </c>
      <c r="R27" s="33" t="s">
        <v>2121</v>
      </c>
      <c r="S27" s="20" t="s">
        <v>1699</v>
      </c>
    </row>
    <row r="28" ht="12.75">
      <c r="B28" s="470"/>
    </row>
    <row r="29" spans="2:18" ht="15.75">
      <c r="B29" s="469"/>
      <c r="C29" s="541" t="s">
        <v>116</v>
      </c>
      <c r="D29" s="541"/>
      <c r="E29" s="541"/>
      <c r="F29" s="541"/>
      <c r="G29" s="541"/>
      <c r="H29" s="541"/>
      <c r="I29" s="541"/>
      <c r="J29" s="541"/>
      <c r="K29" s="541"/>
      <c r="L29" s="541"/>
      <c r="M29" s="541"/>
      <c r="N29" s="541"/>
      <c r="O29" s="541"/>
      <c r="P29" s="541"/>
      <c r="Q29" s="541"/>
      <c r="R29" s="541"/>
    </row>
    <row r="30" spans="1:19" ht="12.75">
      <c r="A30" s="29">
        <v>1</v>
      </c>
      <c r="B30" s="469"/>
      <c r="C30" s="17" t="s">
        <v>4172</v>
      </c>
      <c r="D30" s="17" t="s">
        <v>587</v>
      </c>
      <c r="E30" s="17" t="s">
        <v>1714</v>
      </c>
      <c r="F30" s="17" t="str">
        <f>"0,6759"</f>
        <v>0,6759</v>
      </c>
      <c r="G30" s="17" t="s">
        <v>31</v>
      </c>
      <c r="H30" s="83" t="s">
        <v>589</v>
      </c>
      <c r="I30" s="138" t="s">
        <v>551</v>
      </c>
      <c r="J30" s="147" t="s">
        <v>480</v>
      </c>
      <c r="K30" s="46" t="s">
        <v>131</v>
      </c>
      <c r="L30" s="86"/>
      <c r="M30" s="138" t="s">
        <v>238</v>
      </c>
      <c r="N30" s="147" t="s">
        <v>319</v>
      </c>
      <c r="O30" s="138" t="s">
        <v>341</v>
      </c>
      <c r="P30" s="101"/>
      <c r="Q30" s="44">
        <v>410</v>
      </c>
      <c r="R30" s="35" t="str">
        <f>"277,1190"</f>
        <v>277,1190</v>
      </c>
      <c r="S30" s="17" t="s">
        <v>51</v>
      </c>
    </row>
    <row r="31" spans="1:19" ht="12.75">
      <c r="A31" s="29">
        <v>1</v>
      </c>
      <c r="B31" s="469"/>
      <c r="C31" s="18" t="s">
        <v>4172</v>
      </c>
      <c r="D31" s="18" t="s">
        <v>1577</v>
      </c>
      <c r="E31" s="18" t="s">
        <v>1714</v>
      </c>
      <c r="F31" s="18" t="str">
        <f>"0,6759"</f>
        <v>0,6759</v>
      </c>
      <c r="G31" s="18" t="s">
        <v>31</v>
      </c>
      <c r="H31" s="18" t="s">
        <v>589</v>
      </c>
      <c r="I31" s="140" t="s">
        <v>551</v>
      </c>
      <c r="J31" s="140" t="s">
        <v>480</v>
      </c>
      <c r="K31" s="47" t="s">
        <v>131</v>
      </c>
      <c r="L31" s="39"/>
      <c r="M31" s="140" t="s">
        <v>238</v>
      </c>
      <c r="N31" s="140" t="s">
        <v>319</v>
      </c>
      <c r="O31" s="140" t="s">
        <v>341</v>
      </c>
      <c r="P31" s="39"/>
      <c r="Q31" s="40">
        <v>410</v>
      </c>
      <c r="R31" s="38" t="str">
        <f>"277,1190"</f>
        <v>277,1190</v>
      </c>
      <c r="S31" s="18" t="s">
        <v>51</v>
      </c>
    </row>
    <row r="32" spans="1:19" ht="12.75">
      <c r="A32" s="29">
        <v>2</v>
      </c>
      <c r="B32" s="469"/>
      <c r="C32" s="18" t="s">
        <v>4179</v>
      </c>
      <c r="D32" s="18" t="s">
        <v>1578</v>
      </c>
      <c r="E32" s="18" t="s">
        <v>1715</v>
      </c>
      <c r="F32" s="18" t="str">
        <f>"0,6811"</f>
        <v>0,6811</v>
      </c>
      <c r="G32" s="18" t="s">
        <v>31</v>
      </c>
      <c r="H32" s="18" t="s">
        <v>1643</v>
      </c>
      <c r="I32" s="140" t="s">
        <v>447</v>
      </c>
      <c r="J32" s="47" t="s">
        <v>101</v>
      </c>
      <c r="K32" s="47" t="s">
        <v>101</v>
      </c>
      <c r="L32" s="39"/>
      <c r="M32" s="140" t="s">
        <v>127</v>
      </c>
      <c r="N32" s="140" t="s">
        <v>176</v>
      </c>
      <c r="O32" s="140" t="s">
        <v>190</v>
      </c>
      <c r="P32" s="39"/>
      <c r="Q32" s="40">
        <v>325</v>
      </c>
      <c r="R32" s="38" t="s">
        <v>2122</v>
      </c>
      <c r="S32" s="18" t="s">
        <v>1145</v>
      </c>
    </row>
    <row r="33" spans="1:19" ht="12.75">
      <c r="A33" s="29">
        <v>1</v>
      </c>
      <c r="B33" s="469">
        <v>12</v>
      </c>
      <c r="C33" s="19" t="s">
        <v>4183</v>
      </c>
      <c r="D33" s="19" t="s">
        <v>620</v>
      </c>
      <c r="E33" s="19" t="s">
        <v>1716</v>
      </c>
      <c r="F33" s="19" t="str">
        <f>"0,6888"</f>
        <v>0,6888</v>
      </c>
      <c r="G33" s="19" t="s">
        <v>125</v>
      </c>
      <c r="H33" s="19" t="s">
        <v>621</v>
      </c>
      <c r="I33" s="139" t="s">
        <v>88</v>
      </c>
      <c r="J33" s="139" t="s">
        <v>447</v>
      </c>
      <c r="K33" s="139" t="s">
        <v>100</v>
      </c>
      <c r="L33" s="42"/>
      <c r="M33" s="139" t="s">
        <v>132</v>
      </c>
      <c r="N33" s="139" t="s">
        <v>64</v>
      </c>
      <c r="O33" s="139" t="s">
        <v>153</v>
      </c>
      <c r="P33" s="42"/>
      <c r="Q33" s="43">
        <v>297.5</v>
      </c>
      <c r="R33" s="41" t="str">
        <f>"397,5409"</f>
        <v>397,5409</v>
      </c>
      <c r="S33" s="19" t="s">
        <v>51</v>
      </c>
    </row>
    <row r="34" ht="12.75">
      <c r="B34" s="470"/>
    </row>
    <row r="35" spans="2:18" ht="15.75">
      <c r="B35" s="469"/>
      <c r="C35" s="541" t="s">
        <v>59</v>
      </c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1"/>
      <c r="O35" s="541"/>
      <c r="P35" s="541"/>
      <c r="Q35" s="541"/>
      <c r="R35" s="541"/>
    </row>
    <row r="36" spans="1:19" ht="12.75">
      <c r="A36" s="29">
        <v>1</v>
      </c>
      <c r="B36" s="469">
        <v>12</v>
      </c>
      <c r="C36" s="17" t="s">
        <v>4539</v>
      </c>
      <c r="D36" s="17" t="s">
        <v>625</v>
      </c>
      <c r="E36" s="17" t="s">
        <v>1717</v>
      </c>
      <c r="F36" s="17" t="str">
        <f>"0,8871"</f>
        <v>0,8871</v>
      </c>
      <c r="G36" s="17" t="s">
        <v>125</v>
      </c>
      <c r="H36" s="17" t="s">
        <v>445</v>
      </c>
      <c r="I36" s="138" t="s">
        <v>452</v>
      </c>
      <c r="J36" s="138" t="s">
        <v>24</v>
      </c>
      <c r="K36" s="46" t="s">
        <v>25</v>
      </c>
      <c r="L36" s="36"/>
      <c r="M36" s="138" t="s">
        <v>64</v>
      </c>
      <c r="N36" s="46" t="s">
        <v>127</v>
      </c>
      <c r="O36" s="46" t="s">
        <v>127</v>
      </c>
      <c r="P36" s="36"/>
      <c r="Q36" s="44">
        <v>267.5</v>
      </c>
      <c r="R36" s="35" t="str">
        <f>"237,2992"</f>
        <v>237,2992</v>
      </c>
      <c r="S36" s="17" t="s">
        <v>1699</v>
      </c>
    </row>
    <row r="37" spans="1:19" ht="12.75">
      <c r="A37" s="29">
        <v>1</v>
      </c>
      <c r="B37" s="469"/>
      <c r="C37" s="18" t="s">
        <v>3870</v>
      </c>
      <c r="D37" s="18" t="s">
        <v>156</v>
      </c>
      <c r="E37" s="18" t="s">
        <v>1677</v>
      </c>
      <c r="F37" s="18" t="str">
        <f>"0,6410"</f>
        <v>0,6410</v>
      </c>
      <c r="G37" s="18" t="s">
        <v>31</v>
      </c>
      <c r="H37" s="18" t="s">
        <v>1675</v>
      </c>
      <c r="I37" s="140" t="s">
        <v>64</v>
      </c>
      <c r="J37" s="140" t="s">
        <v>153</v>
      </c>
      <c r="K37" s="140" t="s">
        <v>126</v>
      </c>
      <c r="L37" s="39"/>
      <c r="M37" s="140" t="s">
        <v>319</v>
      </c>
      <c r="N37" s="140" t="s">
        <v>992</v>
      </c>
      <c r="O37" s="47" t="s">
        <v>846</v>
      </c>
      <c r="P37" s="39"/>
      <c r="Q37" s="40">
        <v>440</v>
      </c>
      <c r="R37" s="38" t="str">
        <f>"282,0400"</f>
        <v>282,0400</v>
      </c>
      <c r="S37" s="18" t="s">
        <v>158</v>
      </c>
    </row>
    <row r="38" spans="1:19" ht="12.75">
      <c r="A38" s="29">
        <v>2</v>
      </c>
      <c r="B38" s="469">
        <v>9</v>
      </c>
      <c r="C38" s="19" t="s">
        <v>4189</v>
      </c>
      <c r="D38" s="19" t="s">
        <v>1490</v>
      </c>
      <c r="E38" s="19" t="s">
        <v>1718</v>
      </c>
      <c r="F38" s="19" t="str">
        <f>"0,6424"</f>
        <v>0,6424</v>
      </c>
      <c r="G38" s="19" t="s">
        <v>14</v>
      </c>
      <c r="H38" s="19" t="s">
        <v>1642</v>
      </c>
      <c r="I38" s="139" t="s">
        <v>101</v>
      </c>
      <c r="J38" s="139" t="s">
        <v>598</v>
      </c>
      <c r="K38" s="139" t="s">
        <v>480</v>
      </c>
      <c r="L38" s="42"/>
      <c r="M38" s="139" t="s">
        <v>192</v>
      </c>
      <c r="N38" s="48" t="s">
        <v>245</v>
      </c>
      <c r="O38" s="48" t="s">
        <v>245</v>
      </c>
      <c r="P38" s="42"/>
      <c r="Q38" s="43">
        <v>355</v>
      </c>
      <c r="R38" s="41" t="str">
        <f>"228,0520"</f>
        <v>228,0520</v>
      </c>
      <c r="S38" s="19" t="s">
        <v>51</v>
      </c>
    </row>
    <row r="39" ht="12.75">
      <c r="B39" s="470"/>
    </row>
    <row r="40" spans="2:18" ht="15.75">
      <c r="B40" s="469"/>
      <c r="C40" s="541" t="s">
        <v>164</v>
      </c>
      <c r="D40" s="541"/>
      <c r="E40" s="541"/>
      <c r="F40" s="541"/>
      <c r="G40" s="541"/>
      <c r="H40" s="541"/>
      <c r="I40" s="541"/>
      <c r="J40" s="541"/>
      <c r="K40" s="541"/>
      <c r="L40" s="541"/>
      <c r="M40" s="541"/>
      <c r="N40" s="541"/>
      <c r="O40" s="541"/>
      <c r="P40" s="541"/>
      <c r="Q40" s="541"/>
      <c r="R40" s="541"/>
    </row>
    <row r="41" spans="1:19" ht="12.75">
      <c r="A41" s="29">
        <v>1</v>
      </c>
      <c r="B41" s="469">
        <v>12</v>
      </c>
      <c r="C41" s="17" t="s">
        <v>663</v>
      </c>
      <c r="D41" s="17" t="s">
        <v>664</v>
      </c>
      <c r="E41" s="17" t="s">
        <v>1719</v>
      </c>
      <c r="F41" s="83" t="str">
        <f>"0,6263"</f>
        <v>0,6263</v>
      </c>
      <c r="G41" s="17" t="s">
        <v>54</v>
      </c>
      <c r="H41" s="88" t="s">
        <v>1695</v>
      </c>
      <c r="I41" s="138" t="s">
        <v>416</v>
      </c>
      <c r="J41" s="138" t="s">
        <v>57</v>
      </c>
      <c r="K41" s="138" t="s">
        <v>666</v>
      </c>
      <c r="L41" s="36"/>
      <c r="M41" s="138" t="s">
        <v>89</v>
      </c>
      <c r="N41" s="46" t="s">
        <v>551</v>
      </c>
      <c r="O41" s="36"/>
      <c r="P41" s="36"/>
      <c r="Q41" s="44">
        <v>207.5</v>
      </c>
      <c r="R41" s="35" t="s">
        <v>2125</v>
      </c>
      <c r="S41" s="17" t="s">
        <v>51</v>
      </c>
    </row>
    <row r="42" spans="1:19" ht="12.75">
      <c r="A42" s="29">
        <v>1</v>
      </c>
      <c r="B42" s="469">
        <v>24</v>
      </c>
      <c r="C42" s="18" t="s">
        <v>4193</v>
      </c>
      <c r="D42" s="18" t="s">
        <v>1495</v>
      </c>
      <c r="E42" s="18" t="s">
        <v>33</v>
      </c>
      <c r="F42" s="92" t="str">
        <f>"0,6220"</f>
        <v>0,6220</v>
      </c>
      <c r="G42" s="18" t="s">
        <v>2104</v>
      </c>
      <c r="H42" s="93" t="s">
        <v>1642</v>
      </c>
      <c r="I42" s="140" t="s">
        <v>131</v>
      </c>
      <c r="J42" s="140" t="s">
        <v>132</v>
      </c>
      <c r="K42" s="140" t="s">
        <v>63</v>
      </c>
      <c r="L42" s="39"/>
      <c r="M42" s="140" t="s">
        <v>317</v>
      </c>
      <c r="N42" s="140" t="s">
        <v>319</v>
      </c>
      <c r="O42" s="140" t="s">
        <v>845</v>
      </c>
      <c r="P42" s="39"/>
      <c r="Q42" s="40">
        <v>415</v>
      </c>
      <c r="R42" s="38" t="str">
        <f>"258,1300"</f>
        <v>258,1300</v>
      </c>
      <c r="S42" s="18" t="s">
        <v>51</v>
      </c>
    </row>
    <row r="43" spans="1:19" ht="12.75">
      <c r="A43" s="29">
        <v>2</v>
      </c>
      <c r="B43" s="469">
        <v>9</v>
      </c>
      <c r="C43" s="18" t="s">
        <v>4540</v>
      </c>
      <c r="D43" s="18" t="s">
        <v>1497</v>
      </c>
      <c r="E43" s="18" t="s">
        <v>1720</v>
      </c>
      <c r="F43" s="92" t="str">
        <f>"0,6169"</f>
        <v>0,6169</v>
      </c>
      <c r="G43" s="18" t="s">
        <v>125</v>
      </c>
      <c r="H43" s="93" t="s">
        <v>445</v>
      </c>
      <c r="I43" s="140" t="s">
        <v>25</v>
      </c>
      <c r="J43" s="140" t="s">
        <v>446</v>
      </c>
      <c r="K43" s="140" t="s">
        <v>88</v>
      </c>
      <c r="L43" s="39"/>
      <c r="M43" s="140" t="s">
        <v>191</v>
      </c>
      <c r="N43" s="47" t="s">
        <v>245</v>
      </c>
      <c r="O43" s="47" t="s">
        <v>245</v>
      </c>
      <c r="P43" s="39"/>
      <c r="Q43" s="40">
        <v>330</v>
      </c>
      <c r="R43" s="38" t="str">
        <f>"203,5770"</f>
        <v>203,5770</v>
      </c>
      <c r="S43" s="18" t="s">
        <v>1699</v>
      </c>
    </row>
    <row r="44" spans="1:19" ht="12.75">
      <c r="A44" s="29">
        <v>3</v>
      </c>
      <c r="B44" s="469">
        <v>8</v>
      </c>
      <c r="C44" s="18" t="s">
        <v>4196</v>
      </c>
      <c r="D44" s="18" t="s">
        <v>1264</v>
      </c>
      <c r="E44" s="18" t="s">
        <v>1721</v>
      </c>
      <c r="F44" s="92" t="str">
        <f>"0,6203"</f>
        <v>0,6203</v>
      </c>
      <c r="G44" s="18" t="s">
        <v>2104</v>
      </c>
      <c r="H44" s="93" t="s">
        <v>1642</v>
      </c>
      <c r="I44" s="140" t="s">
        <v>471</v>
      </c>
      <c r="J44" s="140" t="s">
        <v>544</v>
      </c>
      <c r="K44" s="140" t="s">
        <v>88</v>
      </c>
      <c r="L44" s="39"/>
      <c r="M44" s="140" t="s">
        <v>175</v>
      </c>
      <c r="N44" s="140" t="s">
        <v>120</v>
      </c>
      <c r="O44" s="140" t="s">
        <v>121</v>
      </c>
      <c r="P44" s="39"/>
      <c r="Q44" s="40">
        <v>325</v>
      </c>
      <c r="R44" s="38" t="str">
        <f>"201,5975"</f>
        <v>201,5975</v>
      </c>
      <c r="S44" s="18" t="s">
        <v>51</v>
      </c>
    </row>
    <row r="45" spans="1:19" ht="12.75">
      <c r="A45" s="29">
        <v>4</v>
      </c>
      <c r="B45" s="469"/>
      <c r="C45" s="18" t="s">
        <v>4197</v>
      </c>
      <c r="D45" s="18" t="s">
        <v>683</v>
      </c>
      <c r="E45" s="18" t="s">
        <v>1722</v>
      </c>
      <c r="F45" s="92" t="str">
        <f>"0,6223"</f>
        <v>0,6223</v>
      </c>
      <c r="G45" s="18" t="s">
        <v>31</v>
      </c>
      <c r="H45" s="79" t="s">
        <v>2128</v>
      </c>
      <c r="I45" s="140" t="s">
        <v>33</v>
      </c>
      <c r="J45" s="103" t="s">
        <v>303</v>
      </c>
      <c r="K45" s="47" t="s">
        <v>471</v>
      </c>
      <c r="L45" s="105"/>
      <c r="M45" s="140" t="s">
        <v>88</v>
      </c>
      <c r="N45" s="103" t="s">
        <v>480</v>
      </c>
      <c r="O45" s="140" t="s">
        <v>64</v>
      </c>
      <c r="P45" s="39"/>
      <c r="Q45" s="40">
        <v>255</v>
      </c>
      <c r="R45" s="38" t="s">
        <v>2126</v>
      </c>
      <c r="S45" s="18" t="s">
        <v>51</v>
      </c>
    </row>
    <row r="46" spans="1:19" ht="12.75">
      <c r="A46" s="29">
        <v>1</v>
      </c>
      <c r="B46" s="469"/>
      <c r="C46" s="19" t="s">
        <v>4541</v>
      </c>
      <c r="D46" s="19" t="s">
        <v>1580</v>
      </c>
      <c r="E46" s="19" t="s">
        <v>1723</v>
      </c>
      <c r="F46" s="94" t="str">
        <f>"0,6103"</f>
        <v>0,6103</v>
      </c>
      <c r="G46" s="19" t="s">
        <v>31</v>
      </c>
      <c r="H46" s="95" t="s">
        <v>1696</v>
      </c>
      <c r="I46" s="139" t="s">
        <v>598</v>
      </c>
      <c r="J46" s="139" t="s">
        <v>136</v>
      </c>
      <c r="K46" s="139" t="s">
        <v>132</v>
      </c>
      <c r="L46" s="42"/>
      <c r="M46" s="139" t="s">
        <v>153</v>
      </c>
      <c r="N46" s="139" t="s">
        <v>108</v>
      </c>
      <c r="O46" s="139" t="s">
        <v>121</v>
      </c>
      <c r="P46" s="42"/>
      <c r="Q46" s="43">
        <v>355</v>
      </c>
      <c r="R46" s="41" t="str">
        <f>"229,6559"</f>
        <v>229,6559</v>
      </c>
      <c r="S46" s="19" t="s">
        <v>51</v>
      </c>
    </row>
    <row r="47" ht="12.75">
      <c r="B47" s="470"/>
    </row>
    <row r="48" spans="2:18" ht="15.75">
      <c r="B48" s="469"/>
      <c r="C48" s="541" t="s">
        <v>227</v>
      </c>
      <c r="D48" s="541"/>
      <c r="E48" s="541"/>
      <c r="F48" s="541"/>
      <c r="G48" s="541"/>
      <c r="H48" s="541"/>
      <c r="I48" s="541"/>
      <c r="J48" s="541"/>
      <c r="K48" s="541"/>
      <c r="L48" s="541"/>
      <c r="M48" s="541"/>
      <c r="N48" s="541"/>
      <c r="O48" s="541"/>
      <c r="P48" s="541"/>
      <c r="Q48" s="541"/>
      <c r="R48" s="541"/>
    </row>
    <row r="49" spans="1:19" ht="12.75">
      <c r="A49" s="29">
        <v>1</v>
      </c>
      <c r="B49" s="469">
        <v>24</v>
      </c>
      <c r="C49" s="83" t="s">
        <v>4542</v>
      </c>
      <c r="D49" s="83" t="s">
        <v>1581</v>
      </c>
      <c r="E49" s="17" t="s">
        <v>1724</v>
      </c>
      <c r="F49" s="84" t="str">
        <f>"0,5905"</f>
        <v>0,5905</v>
      </c>
      <c r="G49" s="17" t="s">
        <v>431</v>
      </c>
      <c r="H49" s="84" t="s">
        <v>1642</v>
      </c>
      <c r="I49" s="138" t="s">
        <v>64</v>
      </c>
      <c r="J49" s="85" t="s">
        <v>153</v>
      </c>
      <c r="K49" s="46" t="s">
        <v>153</v>
      </c>
      <c r="L49" s="86"/>
      <c r="M49" s="138" t="s">
        <v>341</v>
      </c>
      <c r="N49" s="86"/>
      <c r="O49" s="36"/>
      <c r="P49" s="86"/>
      <c r="Q49" s="44">
        <v>430</v>
      </c>
      <c r="R49" s="87" t="s">
        <v>2123</v>
      </c>
      <c r="S49" s="17" t="s">
        <v>1703</v>
      </c>
    </row>
    <row r="50" spans="1:19" ht="12.75">
      <c r="A50" s="29">
        <v>2</v>
      </c>
      <c r="B50" s="469">
        <v>9</v>
      </c>
      <c r="C50" s="92" t="s">
        <v>4418</v>
      </c>
      <c r="D50" s="92" t="s">
        <v>1137</v>
      </c>
      <c r="E50" s="18" t="s">
        <v>1678</v>
      </c>
      <c r="F50" s="79" t="str">
        <f>"0,5903"</f>
        <v>0,5903</v>
      </c>
      <c r="G50" s="18" t="s">
        <v>130</v>
      </c>
      <c r="H50" s="79" t="s">
        <v>967</v>
      </c>
      <c r="I50" s="140" t="s">
        <v>471</v>
      </c>
      <c r="J50" s="80" t="s">
        <v>139</v>
      </c>
      <c r="K50" s="140" t="s">
        <v>447</v>
      </c>
      <c r="L50" s="81"/>
      <c r="M50" s="140" t="s">
        <v>126</v>
      </c>
      <c r="N50" s="240" t="s">
        <v>238</v>
      </c>
      <c r="O50" s="140" t="s">
        <v>318</v>
      </c>
      <c r="P50" s="81"/>
      <c r="Q50" s="40">
        <v>372.5</v>
      </c>
      <c r="R50" s="82" t="str">
        <f>"219,8868"</f>
        <v>219,8868</v>
      </c>
      <c r="S50" s="18" t="s">
        <v>51</v>
      </c>
    </row>
    <row r="51" spans="1:19" ht="12.75">
      <c r="A51" s="29">
        <v>1</v>
      </c>
      <c r="B51" s="469">
        <v>12</v>
      </c>
      <c r="C51" s="94" t="s">
        <v>4418</v>
      </c>
      <c r="D51" s="94" t="s">
        <v>1141</v>
      </c>
      <c r="E51" s="19" t="s">
        <v>1678</v>
      </c>
      <c r="F51" s="98" t="str">
        <f>"0,5903"</f>
        <v>0,5903</v>
      </c>
      <c r="G51" s="19" t="s">
        <v>130</v>
      </c>
      <c r="H51" s="98" t="s">
        <v>967</v>
      </c>
      <c r="I51" s="139" t="s">
        <v>471</v>
      </c>
      <c r="J51" s="153" t="s">
        <v>139</v>
      </c>
      <c r="K51" s="139" t="s">
        <v>447</v>
      </c>
      <c r="L51" s="99"/>
      <c r="M51" s="139" t="s">
        <v>126</v>
      </c>
      <c r="N51" s="148" t="s">
        <v>238</v>
      </c>
      <c r="O51" s="139" t="s">
        <v>318</v>
      </c>
      <c r="P51" s="99"/>
      <c r="Q51" s="43">
        <v>372.5</v>
      </c>
      <c r="R51" s="100" t="str">
        <f>"265,4033"</f>
        <v>265,4033</v>
      </c>
      <c r="S51" s="19" t="s">
        <v>51</v>
      </c>
    </row>
    <row r="52" ht="12.75">
      <c r="B52" s="470"/>
    </row>
    <row r="53" spans="2:18" ht="15.75">
      <c r="B53" s="469"/>
      <c r="C53" s="541" t="s">
        <v>304</v>
      </c>
      <c r="D53" s="541"/>
      <c r="E53" s="541"/>
      <c r="F53" s="541"/>
      <c r="G53" s="541"/>
      <c r="H53" s="541"/>
      <c r="I53" s="541"/>
      <c r="J53" s="541"/>
      <c r="K53" s="541"/>
      <c r="L53" s="541"/>
      <c r="M53" s="541"/>
      <c r="N53" s="541"/>
      <c r="O53" s="541"/>
      <c r="P53" s="541"/>
      <c r="Q53" s="541"/>
      <c r="R53" s="541"/>
    </row>
    <row r="54" spans="1:19" ht="12.75">
      <c r="A54" s="29">
        <v>1</v>
      </c>
      <c r="B54" s="469">
        <v>24</v>
      </c>
      <c r="C54" s="17" t="s">
        <v>4543</v>
      </c>
      <c r="D54" s="17" t="s">
        <v>1583</v>
      </c>
      <c r="E54" s="17" t="s">
        <v>1725</v>
      </c>
      <c r="F54" s="17" t="str">
        <f>"0,5831"</f>
        <v>0,5831</v>
      </c>
      <c r="G54" s="17" t="s">
        <v>125</v>
      </c>
      <c r="H54" s="17" t="s">
        <v>1642</v>
      </c>
      <c r="I54" s="138" t="s">
        <v>183</v>
      </c>
      <c r="J54" s="138" t="s">
        <v>555</v>
      </c>
      <c r="K54" s="138" t="s">
        <v>269</v>
      </c>
      <c r="L54" s="138" t="s">
        <v>127</v>
      </c>
      <c r="M54" s="138" t="s">
        <v>845</v>
      </c>
      <c r="N54" s="138" t="s">
        <v>341</v>
      </c>
      <c r="O54" s="138" t="s">
        <v>846</v>
      </c>
      <c r="P54" s="36"/>
      <c r="Q54" s="44">
        <v>452.5</v>
      </c>
      <c r="R54" s="35" t="str">
        <f>"263,8528"</f>
        <v>263,8528</v>
      </c>
      <c r="S54" s="17" t="s">
        <v>1704</v>
      </c>
    </row>
    <row r="55" spans="1:19" ht="12.75">
      <c r="A55" s="29">
        <v>1</v>
      </c>
      <c r="B55" s="469">
        <v>12</v>
      </c>
      <c r="C55" s="18" t="s">
        <v>4544</v>
      </c>
      <c r="D55" s="18" t="s">
        <v>1505</v>
      </c>
      <c r="E55" s="18" t="s">
        <v>1726</v>
      </c>
      <c r="F55" s="92" t="str">
        <f>"0,5759"</f>
        <v>0,5759</v>
      </c>
      <c r="G55" s="18" t="s">
        <v>2104</v>
      </c>
      <c r="H55" s="93" t="s">
        <v>1642</v>
      </c>
      <c r="I55" s="140" t="s">
        <v>88</v>
      </c>
      <c r="J55" s="140" t="s">
        <v>89</v>
      </c>
      <c r="K55" s="47" t="s">
        <v>480</v>
      </c>
      <c r="L55" s="39"/>
      <c r="M55" s="140" t="s">
        <v>190</v>
      </c>
      <c r="N55" s="140" t="s">
        <v>245</v>
      </c>
      <c r="O55" s="47" t="s">
        <v>239</v>
      </c>
      <c r="P55" s="39"/>
      <c r="Q55" s="40">
        <v>355</v>
      </c>
      <c r="R55" s="38" t="str">
        <f>"204,4445"</f>
        <v>204,4445</v>
      </c>
      <c r="S55" s="18" t="s">
        <v>1670</v>
      </c>
    </row>
    <row r="56" spans="1:19" ht="12.75">
      <c r="A56" s="29">
        <v>1</v>
      </c>
      <c r="B56" s="469">
        <v>30</v>
      </c>
      <c r="C56" s="18" t="s">
        <v>4545</v>
      </c>
      <c r="D56" s="79" t="s">
        <v>742</v>
      </c>
      <c r="E56" s="79" t="s">
        <v>1727</v>
      </c>
      <c r="F56" s="79" t="str">
        <f>"0,5786"</f>
        <v>0,5786</v>
      </c>
      <c r="G56" s="79" t="s">
        <v>14</v>
      </c>
      <c r="H56" s="79" t="s">
        <v>1642</v>
      </c>
      <c r="I56" s="146" t="s">
        <v>176</v>
      </c>
      <c r="J56" s="80" t="s">
        <v>109</v>
      </c>
      <c r="K56" s="80" t="s">
        <v>109</v>
      </c>
      <c r="L56" s="81"/>
      <c r="M56" s="146" t="s">
        <v>845</v>
      </c>
      <c r="N56" s="146" t="s">
        <v>846</v>
      </c>
      <c r="O56" s="146" t="s">
        <v>847</v>
      </c>
      <c r="P56" s="146" t="s">
        <v>901</v>
      </c>
      <c r="Q56" s="96">
        <v>477.5</v>
      </c>
      <c r="R56" s="50" t="s">
        <v>4100</v>
      </c>
      <c r="S56" s="93" t="s">
        <v>1674</v>
      </c>
    </row>
    <row r="57" spans="1:19" ht="12.75">
      <c r="A57" s="29">
        <v>2</v>
      </c>
      <c r="B57" s="469">
        <v>21</v>
      </c>
      <c r="C57" s="19" t="s">
        <v>4419</v>
      </c>
      <c r="D57" s="19" t="s">
        <v>730</v>
      </c>
      <c r="E57" s="19" t="s">
        <v>1679</v>
      </c>
      <c r="F57" s="19" t="str">
        <f>"0,5780"</f>
        <v>0,5780</v>
      </c>
      <c r="G57" s="19" t="s">
        <v>148</v>
      </c>
      <c r="H57" s="19" t="s">
        <v>149</v>
      </c>
      <c r="I57" s="139" t="s">
        <v>64</v>
      </c>
      <c r="J57" s="139" t="s">
        <v>153</v>
      </c>
      <c r="K57" s="139" t="s">
        <v>126</v>
      </c>
      <c r="L57" s="42"/>
      <c r="M57" s="139" t="s">
        <v>238</v>
      </c>
      <c r="N57" s="139" t="s">
        <v>319</v>
      </c>
      <c r="O57" s="139" t="s">
        <v>368</v>
      </c>
      <c r="P57" s="42"/>
      <c r="Q57" s="43">
        <v>427.5</v>
      </c>
      <c r="R57" s="41" t="str">
        <f>"247,0950"</f>
        <v>247,0950</v>
      </c>
      <c r="S57" s="19" t="s">
        <v>1674</v>
      </c>
    </row>
    <row r="58" ht="12.75">
      <c r="B58" s="470"/>
    </row>
    <row r="59" spans="2:18" ht="15.75">
      <c r="B59" s="469"/>
      <c r="C59" s="541" t="s">
        <v>355</v>
      </c>
      <c r="D59" s="541"/>
      <c r="E59" s="541"/>
      <c r="F59" s="541"/>
      <c r="G59" s="541"/>
      <c r="H59" s="541"/>
      <c r="I59" s="541"/>
      <c r="J59" s="541"/>
      <c r="K59" s="541"/>
      <c r="L59" s="541"/>
      <c r="M59" s="541"/>
      <c r="N59" s="541"/>
      <c r="O59" s="541"/>
      <c r="P59" s="541"/>
      <c r="Q59" s="541"/>
      <c r="R59" s="541"/>
    </row>
    <row r="60" spans="1:19" ht="12.75">
      <c r="A60" s="29">
        <v>1</v>
      </c>
      <c r="B60" s="469"/>
      <c r="C60" s="20" t="s">
        <v>4425</v>
      </c>
      <c r="D60" s="20" t="s">
        <v>755</v>
      </c>
      <c r="E60" s="20" t="s">
        <v>89</v>
      </c>
      <c r="F60" s="20" t="str">
        <f>"0,5656"</f>
        <v>0,5656</v>
      </c>
      <c r="G60" s="20" t="s">
        <v>31</v>
      </c>
      <c r="H60" s="20" t="s">
        <v>1643</v>
      </c>
      <c r="I60" s="134" t="s">
        <v>127</v>
      </c>
      <c r="J60" s="134" t="s">
        <v>108</v>
      </c>
      <c r="K60" s="45" t="s">
        <v>120</v>
      </c>
      <c r="L60" s="31"/>
      <c r="M60" s="134" t="s">
        <v>319</v>
      </c>
      <c r="N60" s="45" t="s">
        <v>341</v>
      </c>
      <c r="O60" s="45" t="s">
        <v>341</v>
      </c>
      <c r="P60" s="31"/>
      <c r="Q60" s="34">
        <v>440</v>
      </c>
      <c r="R60" s="33" t="s">
        <v>2117</v>
      </c>
      <c r="S60" s="20" t="s">
        <v>51</v>
      </c>
    </row>
    <row r="61" ht="12.75">
      <c r="B61" s="470"/>
    </row>
    <row r="62" spans="3:4" ht="18">
      <c r="C62" s="16" t="s">
        <v>370</v>
      </c>
      <c r="D62" s="16"/>
    </row>
    <row r="63" spans="3:4" ht="15.75">
      <c r="C63" s="22" t="s">
        <v>371</v>
      </c>
      <c r="D63" s="22"/>
    </row>
    <row r="64" spans="3:4" ht="13.5">
      <c r="C64" s="24"/>
      <c r="D64" s="25" t="s">
        <v>2102</v>
      </c>
    </row>
    <row r="65" spans="3:7" ht="13.5">
      <c r="C65" s="26" t="s">
        <v>373</v>
      </c>
      <c r="D65" s="26" t="s">
        <v>374</v>
      </c>
      <c r="E65" s="26" t="s">
        <v>375</v>
      </c>
      <c r="F65" s="26" t="s">
        <v>376</v>
      </c>
      <c r="G65" s="26" t="s">
        <v>377</v>
      </c>
    </row>
    <row r="66" spans="1:7" ht="12.75">
      <c r="A66" s="29">
        <v>1</v>
      </c>
      <c r="C66" s="90" t="s">
        <v>1079</v>
      </c>
      <c r="D66" s="49" t="s">
        <v>372</v>
      </c>
      <c r="E66" s="49" t="s">
        <v>764</v>
      </c>
      <c r="F66" s="49" t="s">
        <v>991</v>
      </c>
      <c r="G66" s="50" t="s">
        <v>1584</v>
      </c>
    </row>
    <row r="67" spans="1:7" ht="12.75">
      <c r="A67" s="29">
        <v>2</v>
      </c>
      <c r="C67" s="90" t="s">
        <v>442</v>
      </c>
      <c r="D67" s="49" t="s">
        <v>372</v>
      </c>
      <c r="E67" s="49" t="s">
        <v>385</v>
      </c>
      <c r="F67" s="49" t="s">
        <v>190</v>
      </c>
      <c r="G67" s="50" t="s">
        <v>2119</v>
      </c>
    </row>
    <row r="68" spans="1:7" ht="12.75">
      <c r="A68" s="29">
        <v>3</v>
      </c>
      <c r="C68" s="90" t="s">
        <v>477</v>
      </c>
      <c r="D68" s="49" t="s">
        <v>372</v>
      </c>
      <c r="E68" s="49" t="s">
        <v>380</v>
      </c>
      <c r="F68" s="49" t="s">
        <v>176</v>
      </c>
      <c r="G68" s="50" t="s">
        <v>1585</v>
      </c>
    </row>
    <row r="70" spans="3:4" ht="15.75">
      <c r="C70" s="22" t="s">
        <v>387</v>
      </c>
      <c r="D70" s="22"/>
    </row>
    <row r="71" spans="3:4" ht="13.5">
      <c r="C71" s="24"/>
      <c r="D71" s="25" t="s">
        <v>2102</v>
      </c>
    </row>
    <row r="72" spans="3:7" ht="13.5">
      <c r="C72" s="26" t="s">
        <v>373</v>
      </c>
      <c r="D72" s="26" t="s">
        <v>374</v>
      </c>
      <c r="E72" s="26" t="s">
        <v>375</v>
      </c>
      <c r="F72" s="26" t="s">
        <v>376</v>
      </c>
      <c r="G72" s="26" t="s">
        <v>377</v>
      </c>
    </row>
    <row r="73" spans="1:7" ht="12.75">
      <c r="A73" s="29">
        <v>1</v>
      </c>
      <c r="C73" s="90" t="s">
        <v>1582</v>
      </c>
      <c r="D73" s="49" t="s">
        <v>388</v>
      </c>
      <c r="E73" s="49" t="s">
        <v>389</v>
      </c>
      <c r="F73" s="49" t="s">
        <v>1586</v>
      </c>
      <c r="G73" s="50" t="s">
        <v>1587</v>
      </c>
    </row>
    <row r="74" spans="1:7" ht="12.75">
      <c r="A74" s="29">
        <v>2</v>
      </c>
      <c r="C74" s="90" t="s">
        <v>624</v>
      </c>
      <c r="D74" s="49" t="s">
        <v>388</v>
      </c>
      <c r="E74" s="49" t="s">
        <v>378</v>
      </c>
      <c r="F74" s="49" t="s">
        <v>850</v>
      </c>
      <c r="G74" s="50" t="s">
        <v>1588</v>
      </c>
    </row>
    <row r="75" spans="1:7" ht="12.75">
      <c r="A75" s="29">
        <v>3</v>
      </c>
      <c r="C75" s="90" t="s">
        <v>663</v>
      </c>
      <c r="D75" s="49" t="s">
        <v>388</v>
      </c>
      <c r="E75" s="49" t="s">
        <v>397</v>
      </c>
      <c r="F75" s="49" t="s">
        <v>666</v>
      </c>
      <c r="G75" s="50" t="s">
        <v>778</v>
      </c>
    </row>
    <row r="76" spans="3:4" ht="13.5">
      <c r="C76" s="24"/>
      <c r="D76" s="25" t="s">
        <v>2102</v>
      </c>
    </row>
    <row r="77" spans="3:7" ht="13.5">
      <c r="C77" s="26" t="s">
        <v>373</v>
      </c>
      <c r="D77" s="26" t="s">
        <v>374</v>
      </c>
      <c r="E77" s="26" t="s">
        <v>375</v>
      </c>
      <c r="F77" s="26" t="s">
        <v>376</v>
      </c>
      <c r="G77" s="26" t="s">
        <v>377</v>
      </c>
    </row>
    <row r="78" spans="1:7" ht="12.75">
      <c r="A78" s="29">
        <v>1</v>
      </c>
      <c r="C78" s="90" t="s">
        <v>155</v>
      </c>
      <c r="D78" s="49" t="s">
        <v>372</v>
      </c>
      <c r="E78" s="49" t="s">
        <v>378</v>
      </c>
      <c r="F78" s="49" t="s">
        <v>1564</v>
      </c>
      <c r="G78" s="50" t="s">
        <v>1565</v>
      </c>
    </row>
    <row r="79" spans="1:7" ht="12.75">
      <c r="A79" s="29">
        <v>2</v>
      </c>
      <c r="C79" s="90" t="s">
        <v>586</v>
      </c>
      <c r="D79" s="49" t="s">
        <v>372</v>
      </c>
      <c r="E79" s="49" t="s">
        <v>404</v>
      </c>
      <c r="F79" s="49" t="s">
        <v>1059</v>
      </c>
      <c r="G79" s="50" t="s">
        <v>1589</v>
      </c>
    </row>
    <row r="80" spans="1:7" ht="12.75">
      <c r="A80" s="29">
        <v>3</v>
      </c>
      <c r="C80" s="90" t="s">
        <v>741</v>
      </c>
      <c r="D80" s="49" t="s">
        <v>372</v>
      </c>
      <c r="E80" s="49" t="s">
        <v>389</v>
      </c>
      <c r="F80" s="49" t="s">
        <v>4099</v>
      </c>
      <c r="G80" s="50" t="s">
        <v>4100</v>
      </c>
    </row>
    <row r="81" spans="3:4" ht="13.5">
      <c r="C81" s="24"/>
      <c r="D81" s="25" t="s">
        <v>2102</v>
      </c>
    </row>
    <row r="82" spans="3:7" ht="13.5">
      <c r="C82" s="26" t="s">
        <v>373</v>
      </c>
      <c r="D82" s="26" t="s">
        <v>374</v>
      </c>
      <c r="E82" s="26" t="s">
        <v>375</v>
      </c>
      <c r="F82" s="26" t="s">
        <v>376</v>
      </c>
      <c r="G82" s="26" t="s">
        <v>377</v>
      </c>
    </row>
    <row r="83" spans="1:7" ht="12.75">
      <c r="A83" s="29">
        <v>1</v>
      </c>
      <c r="C83" s="90" t="s">
        <v>619</v>
      </c>
      <c r="D83" s="49" t="s">
        <v>411</v>
      </c>
      <c r="E83" s="49" t="s">
        <v>404</v>
      </c>
      <c r="F83" s="49" t="s">
        <v>1591</v>
      </c>
      <c r="G83" s="50" t="s">
        <v>1592</v>
      </c>
    </row>
    <row r="84" spans="1:7" ht="12.75">
      <c r="A84" s="29">
        <v>2</v>
      </c>
      <c r="C84" s="90" t="s">
        <v>1136</v>
      </c>
      <c r="D84" s="49" t="s">
        <v>410</v>
      </c>
      <c r="E84" s="49" t="s">
        <v>392</v>
      </c>
      <c r="F84" s="49" t="s">
        <v>1590</v>
      </c>
      <c r="G84" s="50" t="s">
        <v>1593</v>
      </c>
    </row>
    <row r="85" spans="1:7" ht="12.75">
      <c r="A85" s="29">
        <v>3</v>
      </c>
      <c r="C85" s="90" t="s">
        <v>1579</v>
      </c>
      <c r="D85" s="49" t="s">
        <v>384</v>
      </c>
      <c r="E85" s="49" t="s">
        <v>397</v>
      </c>
      <c r="F85" s="49" t="s">
        <v>1411</v>
      </c>
      <c r="G85" s="50" t="s">
        <v>1594</v>
      </c>
    </row>
  </sheetData>
  <sheetProtection/>
  <mergeCells count="27">
    <mergeCell ref="B3:B4"/>
    <mergeCell ref="C40:R40"/>
    <mergeCell ref="C48:R48"/>
    <mergeCell ref="C53:R53"/>
    <mergeCell ref="C59:R59"/>
    <mergeCell ref="C17:R17"/>
    <mergeCell ref="C20:R20"/>
    <mergeCell ref="C23:R23"/>
    <mergeCell ref="C26:R26"/>
    <mergeCell ref="C29:R29"/>
    <mergeCell ref="C35:R35"/>
    <mergeCell ref="Q3:Q4"/>
    <mergeCell ref="R3:R4"/>
    <mergeCell ref="S3:S4"/>
    <mergeCell ref="C5:R5"/>
    <mergeCell ref="C9:R9"/>
    <mergeCell ref="C13:R13"/>
    <mergeCell ref="A3:A4"/>
    <mergeCell ref="C1:S2"/>
    <mergeCell ref="C3:C4"/>
    <mergeCell ref="D3:D4"/>
    <mergeCell ref="E3:E4"/>
    <mergeCell ref="F3:F4"/>
    <mergeCell ref="G3:G4"/>
    <mergeCell ref="H3:H4"/>
    <mergeCell ref="I3:L3"/>
    <mergeCell ref="M3:P3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S53"/>
  <sheetViews>
    <sheetView workbookViewId="0" topLeftCell="A7">
      <selection activeCell="C21" sqref="C21"/>
    </sheetView>
  </sheetViews>
  <sheetFormatPr defaultColWidth="8.75390625" defaultRowHeight="12.75"/>
  <cols>
    <col min="1" max="1" width="7.625" style="29" customWidth="1"/>
    <col min="2" max="2" width="11.625" style="445" customWidth="1"/>
    <col min="3" max="3" width="24.375" style="15" customWidth="1"/>
    <col min="4" max="4" width="26.875" style="15" bestFit="1" customWidth="1"/>
    <col min="5" max="5" width="10.625" style="15" bestFit="1" customWidth="1"/>
    <col min="6" max="6" width="8.375" style="15" bestFit="1" customWidth="1"/>
    <col min="7" max="7" width="26.875" style="15" customWidth="1"/>
    <col min="8" max="8" width="39.00390625" style="15" bestFit="1" customWidth="1"/>
    <col min="9" max="11" width="5.625" style="15" bestFit="1" customWidth="1"/>
    <col min="12" max="12" width="4.625" style="15" bestFit="1" customWidth="1"/>
    <col min="13" max="15" width="5.625" style="15" bestFit="1" customWidth="1"/>
    <col min="16" max="16" width="5.625" style="15" customWidth="1"/>
    <col min="17" max="17" width="7.875" style="30" bestFit="1" customWidth="1"/>
    <col min="18" max="18" width="8.625" style="15" bestFit="1" customWidth="1"/>
    <col min="19" max="19" width="21.00390625" style="15" customWidth="1"/>
  </cols>
  <sheetData>
    <row r="1" spans="1:19" s="1" customFormat="1" ht="15" customHeight="1">
      <c r="A1" s="28"/>
      <c r="B1" s="443"/>
      <c r="C1" s="552" t="s">
        <v>2114</v>
      </c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</row>
    <row r="2" spans="1:19" s="1" customFormat="1" ht="88.5" customHeight="1" thickBot="1">
      <c r="A2" s="28"/>
      <c r="B2" s="44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</row>
    <row r="3" spans="1:19" s="2" customFormat="1" ht="12.75" customHeight="1">
      <c r="A3" s="546" t="s">
        <v>1627</v>
      </c>
      <c r="B3" s="516" t="s">
        <v>4516</v>
      </c>
      <c r="C3" s="542" t="s">
        <v>0</v>
      </c>
      <c r="D3" s="548" t="s">
        <v>1628</v>
      </c>
      <c r="E3" s="548" t="s">
        <v>1629</v>
      </c>
      <c r="F3" s="542" t="s">
        <v>9</v>
      </c>
      <c r="G3" s="542" t="s">
        <v>7</v>
      </c>
      <c r="H3" s="514" t="s">
        <v>3275</v>
      </c>
      <c r="I3" s="542" t="s">
        <v>2</v>
      </c>
      <c r="J3" s="542"/>
      <c r="K3" s="542"/>
      <c r="L3" s="542"/>
      <c r="M3" s="542" t="s">
        <v>3</v>
      </c>
      <c r="N3" s="542"/>
      <c r="O3" s="542"/>
      <c r="P3" s="542"/>
      <c r="Q3" s="550" t="s">
        <v>4</v>
      </c>
      <c r="R3" s="542" t="s">
        <v>6</v>
      </c>
      <c r="S3" s="544" t="s">
        <v>5</v>
      </c>
    </row>
    <row r="4" spans="1:19" s="2" customFormat="1" ht="21" customHeight="1" thickBot="1">
      <c r="A4" s="547"/>
      <c r="B4" s="517"/>
      <c r="C4" s="543"/>
      <c r="D4" s="543"/>
      <c r="E4" s="549"/>
      <c r="F4" s="543"/>
      <c r="G4" s="543"/>
      <c r="H4" s="515"/>
      <c r="I4" s="3">
        <v>1</v>
      </c>
      <c r="J4" s="3">
        <v>2</v>
      </c>
      <c r="K4" s="3">
        <v>3</v>
      </c>
      <c r="L4" s="3" t="s">
        <v>8</v>
      </c>
      <c r="M4" s="3">
        <v>1</v>
      </c>
      <c r="N4" s="3">
        <v>2</v>
      </c>
      <c r="O4" s="3">
        <v>3</v>
      </c>
      <c r="P4" s="3" t="s">
        <v>8</v>
      </c>
      <c r="Q4" s="551"/>
      <c r="R4" s="543"/>
      <c r="S4" s="545"/>
    </row>
    <row r="5" spans="2:18" ht="15.75">
      <c r="B5" s="410"/>
      <c r="C5" s="526" t="s">
        <v>42</v>
      </c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</row>
    <row r="6" spans="1:19" ht="12.75">
      <c r="A6" s="29">
        <v>1</v>
      </c>
      <c r="B6" s="469">
        <v>12</v>
      </c>
      <c r="C6" s="20" t="s">
        <v>4426</v>
      </c>
      <c r="D6" s="20" t="s">
        <v>1550</v>
      </c>
      <c r="E6" s="20" t="s">
        <v>1654</v>
      </c>
      <c r="F6" s="20" t="str">
        <f>"0,9638"</f>
        <v>0,9638</v>
      </c>
      <c r="G6" s="20" t="s">
        <v>130</v>
      </c>
      <c r="H6" s="20" t="s">
        <v>1551</v>
      </c>
      <c r="I6" s="45" t="s">
        <v>49</v>
      </c>
      <c r="J6" s="134" t="s">
        <v>49</v>
      </c>
      <c r="K6" s="45" t="s">
        <v>303</v>
      </c>
      <c r="L6" s="31"/>
      <c r="M6" s="134" t="s">
        <v>480</v>
      </c>
      <c r="N6" s="45" t="s">
        <v>64</v>
      </c>
      <c r="O6" s="45" t="s">
        <v>64</v>
      </c>
      <c r="P6" s="31"/>
      <c r="Q6" s="34">
        <v>230</v>
      </c>
      <c r="R6" s="33" t="str">
        <f>"221,6740"</f>
        <v>221,6740</v>
      </c>
      <c r="S6" s="20" t="s">
        <v>1666</v>
      </c>
    </row>
    <row r="7" ht="12.75">
      <c r="B7" s="470"/>
    </row>
    <row r="8" spans="2:18" ht="15.75">
      <c r="B8" s="469"/>
      <c r="C8" s="541" t="s">
        <v>42</v>
      </c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</row>
    <row r="9" spans="1:19" ht="12.75">
      <c r="A9" s="29">
        <v>1</v>
      </c>
      <c r="B9" s="469">
        <v>12</v>
      </c>
      <c r="C9" s="20" t="s">
        <v>4427</v>
      </c>
      <c r="D9" s="20" t="s">
        <v>1553</v>
      </c>
      <c r="E9" s="20" t="s">
        <v>1713</v>
      </c>
      <c r="F9" s="20" t="str">
        <f>"0,7228"</f>
        <v>0,7228</v>
      </c>
      <c r="G9" s="20" t="s">
        <v>130</v>
      </c>
      <c r="H9" s="20" t="s">
        <v>2245</v>
      </c>
      <c r="I9" s="134" t="s">
        <v>471</v>
      </c>
      <c r="J9" s="134" t="s">
        <v>25</v>
      </c>
      <c r="K9" s="45" t="s">
        <v>446</v>
      </c>
      <c r="L9" s="31"/>
      <c r="M9" s="134" t="s">
        <v>175</v>
      </c>
      <c r="N9" s="134" t="s">
        <v>190</v>
      </c>
      <c r="O9" s="134" t="s">
        <v>818</v>
      </c>
      <c r="P9" s="31"/>
      <c r="Q9" s="34">
        <v>322.5</v>
      </c>
      <c r="R9" s="33" t="str">
        <f>"233,1030"</f>
        <v>233,1030</v>
      </c>
      <c r="S9" s="20" t="s">
        <v>1738</v>
      </c>
    </row>
    <row r="10" ht="12.75">
      <c r="B10" s="470"/>
    </row>
    <row r="11" spans="2:18" ht="15.75">
      <c r="B11" s="469"/>
      <c r="C11" s="541" t="s">
        <v>116</v>
      </c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</row>
    <row r="12" spans="1:19" ht="12.75">
      <c r="A12" s="29">
        <v>1</v>
      </c>
      <c r="B12" s="469">
        <v>12</v>
      </c>
      <c r="C12" s="20" t="s">
        <v>4236</v>
      </c>
      <c r="D12" s="20" t="s">
        <v>1370</v>
      </c>
      <c r="E12" s="20" t="s">
        <v>1714</v>
      </c>
      <c r="F12" s="20" t="str">
        <f>"0,6759"</f>
        <v>0,6759</v>
      </c>
      <c r="G12" s="20" t="s">
        <v>2104</v>
      </c>
      <c r="H12" s="20" t="s">
        <v>1643</v>
      </c>
      <c r="I12" s="134" t="s">
        <v>447</v>
      </c>
      <c r="J12" s="134" t="s">
        <v>101</v>
      </c>
      <c r="K12" s="134" t="s">
        <v>551</v>
      </c>
      <c r="L12" s="31"/>
      <c r="M12" s="45" t="s">
        <v>190</v>
      </c>
      <c r="N12" s="45" t="s">
        <v>818</v>
      </c>
      <c r="O12" s="134" t="s">
        <v>818</v>
      </c>
      <c r="P12" s="31"/>
      <c r="Q12" s="34">
        <v>347.5</v>
      </c>
      <c r="R12" s="33" t="str">
        <f>"234,8752"</f>
        <v>234,8752</v>
      </c>
      <c r="S12" s="20" t="s">
        <v>1739</v>
      </c>
    </row>
    <row r="13" ht="12.75">
      <c r="B13" s="470"/>
    </row>
    <row r="14" spans="2:18" ht="15.75">
      <c r="B14" s="469"/>
      <c r="C14" s="541" t="s">
        <v>59</v>
      </c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1"/>
    </row>
    <row r="15" spans="1:19" ht="12.75">
      <c r="A15" s="29">
        <v>1</v>
      </c>
      <c r="B15" s="469">
        <v>30</v>
      </c>
      <c r="C15" s="17" t="s">
        <v>4241</v>
      </c>
      <c r="D15" s="17" t="s">
        <v>146</v>
      </c>
      <c r="E15" s="17" t="s">
        <v>1718</v>
      </c>
      <c r="F15" s="17" t="str">
        <f>"0,6424"</f>
        <v>0,6424</v>
      </c>
      <c r="G15" s="17" t="s">
        <v>148</v>
      </c>
      <c r="H15" s="17" t="s">
        <v>149</v>
      </c>
      <c r="I15" s="138" t="s">
        <v>127</v>
      </c>
      <c r="J15" s="138" t="s">
        <v>108</v>
      </c>
      <c r="K15" s="138" t="s">
        <v>120</v>
      </c>
      <c r="L15" s="36"/>
      <c r="M15" s="46" t="s">
        <v>860</v>
      </c>
      <c r="N15" s="138" t="s">
        <v>860</v>
      </c>
      <c r="O15" s="46" t="s">
        <v>834</v>
      </c>
      <c r="P15" s="36"/>
      <c r="Q15" s="44">
        <v>495</v>
      </c>
      <c r="R15" s="35" t="str">
        <f>"317,9880"</f>
        <v>317,9880</v>
      </c>
      <c r="S15" s="17" t="s">
        <v>1740</v>
      </c>
    </row>
    <row r="16" spans="1:19" ht="12.75">
      <c r="A16" s="29">
        <v>2</v>
      </c>
      <c r="B16" s="469"/>
      <c r="C16" s="18" t="s">
        <v>3884</v>
      </c>
      <c r="D16" s="18" t="s">
        <v>156</v>
      </c>
      <c r="E16" s="18" t="s">
        <v>1677</v>
      </c>
      <c r="F16" s="18" t="str">
        <f>"0,6410"</f>
        <v>0,6410</v>
      </c>
      <c r="G16" s="18" t="s">
        <v>31</v>
      </c>
      <c r="H16" s="18" t="s">
        <v>1675</v>
      </c>
      <c r="I16" s="140" t="s">
        <v>64</v>
      </c>
      <c r="J16" s="140" t="s">
        <v>153</v>
      </c>
      <c r="K16" s="140" t="s">
        <v>126</v>
      </c>
      <c r="L16" s="39"/>
      <c r="M16" s="140" t="s">
        <v>319</v>
      </c>
      <c r="N16" s="140" t="s">
        <v>992</v>
      </c>
      <c r="O16" s="47" t="s">
        <v>846</v>
      </c>
      <c r="P16" s="39"/>
      <c r="Q16" s="40">
        <v>440</v>
      </c>
      <c r="R16" s="38" t="str">
        <f>"282,0400"</f>
        <v>282,0400</v>
      </c>
      <c r="S16" s="18" t="s">
        <v>158</v>
      </c>
    </row>
    <row r="17" spans="1:19" ht="12.75">
      <c r="A17" s="29">
        <v>1</v>
      </c>
      <c r="B17" s="469">
        <v>12</v>
      </c>
      <c r="C17" s="19" t="s">
        <v>4428</v>
      </c>
      <c r="D17" s="19" t="s">
        <v>1554</v>
      </c>
      <c r="E17" s="19" t="s">
        <v>1718</v>
      </c>
      <c r="F17" s="94" t="str">
        <f>"0,6424"</f>
        <v>0,6424</v>
      </c>
      <c r="G17" s="19" t="s">
        <v>2104</v>
      </c>
      <c r="H17" s="95" t="s">
        <v>1642</v>
      </c>
      <c r="I17" s="139" t="s">
        <v>88</v>
      </c>
      <c r="J17" s="139" t="s">
        <v>89</v>
      </c>
      <c r="K17" s="48" t="s">
        <v>480</v>
      </c>
      <c r="L17" s="42"/>
      <c r="M17" s="139" t="s">
        <v>108</v>
      </c>
      <c r="N17" s="139" t="s">
        <v>190</v>
      </c>
      <c r="O17" s="139" t="s">
        <v>191</v>
      </c>
      <c r="P17" s="42"/>
      <c r="Q17" s="43">
        <v>340</v>
      </c>
      <c r="R17" s="41" t="str">
        <f>"231,5210"</f>
        <v>231,5210</v>
      </c>
      <c r="S17" s="19" t="s">
        <v>1670</v>
      </c>
    </row>
    <row r="18" ht="12.75">
      <c r="B18" s="470"/>
    </row>
    <row r="19" spans="2:18" ht="15.75">
      <c r="B19" s="469"/>
      <c r="C19" s="541" t="s">
        <v>164</v>
      </c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541"/>
      <c r="P19" s="541"/>
      <c r="Q19" s="541"/>
      <c r="R19" s="541"/>
    </row>
    <row r="20" spans="1:19" ht="12.75">
      <c r="A20" s="29">
        <v>1</v>
      </c>
      <c r="B20" s="469">
        <v>12</v>
      </c>
      <c r="C20" s="17" t="s">
        <v>4205</v>
      </c>
      <c r="D20" s="17" t="s">
        <v>1382</v>
      </c>
      <c r="E20" s="17" t="s">
        <v>1728</v>
      </c>
      <c r="F20" s="83" t="str">
        <f>"0,6194"</f>
        <v>0,6194</v>
      </c>
      <c r="G20" s="17" t="s">
        <v>2104</v>
      </c>
      <c r="H20" s="88" t="s">
        <v>1643</v>
      </c>
      <c r="I20" s="138" t="s">
        <v>89</v>
      </c>
      <c r="J20" s="138" t="s">
        <v>480</v>
      </c>
      <c r="K20" s="46" t="s">
        <v>132</v>
      </c>
      <c r="L20" s="36"/>
      <c r="M20" s="138" t="s">
        <v>991</v>
      </c>
      <c r="N20" s="138" t="s">
        <v>884</v>
      </c>
      <c r="O20" s="46" t="s">
        <v>845</v>
      </c>
      <c r="P20" s="36"/>
      <c r="Q20" s="44">
        <v>395</v>
      </c>
      <c r="R20" s="35" t="str">
        <f>"244,6630"</f>
        <v>244,6630</v>
      </c>
      <c r="S20" s="17" t="s">
        <v>1670</v>
      </c>
    </row>
    <row r="21" spans="1:19" ht="12.75">
      <c r="A21" s="29">
        <v>2</v>
      </c>
      <c r="B21" s="469">
        <v>9</v>
      </c>
      <c r="C21" s="18" t="s">
        <v>4429</v>
      </c>
      <c r="D21" s="18" t="s">
        <v>1555</v>
      </c>
      <c r="E21" s="18" t="s">
        <v>1729</v>
      </c>
      <c r="F21" s="92" t="str">
        <f>"0,6129"</f>
        <v>0,6129</v>
      </c>
      <c r="G21" s="18" t="s">
        <v>2104</v>
      </c>
      <c r="H21" s="93" t="s">
        <v>1642</v>
      </c>
      <c r="I21" s="140" t="s">
        <v>89</v>
      </c>
      <c r="J21" s="140" t="s">
        <v>480</v>
      </c>
      <c r="K21" s="47" t="s">
        <v>132</v>
      </c>
      <c r="L21" s="39"/>
      <c r="M21" s="140" t="s">
        <v>121</v>
      </c>
      <c r="N21" s="140" t="s">
        <v>237</v>
      </c>
      <c r="O21" s="47" t="s">
        <v>238</v>
      </c>
      <c r="P21" s="39"/>
      <c r="Q21" s="40">
        <v>360</v>
      </c>
      <c r="R21" s="38" t="str">
        <f>"220,6440"</f>
        <v>220,6440</v>
      </c>
      <c r="S21" s="18" t="s">
        <v>1670</v>
      </c>
    </row>
    <row r="22" spans="1:19" ht="12.75">
      <c r="A22" s="29">
        <v>3</v>
      </c>
      <c r="B22" s="469"/>
      <c r="C22" s="18" t="s">
        <v>4430</v>
      </c>
      <c r="D22" s="18" t="s">
        <v>717</v>
      </c>
      <c r="E22" s="18" t="s">
        <v>1730</v>
      </c>
      <c r="F22" s="92" t="str">
        <f>"0,6142"</f>
        <v>0,6142</v>
      </c>
      <c r="G22" s="18" t="s">
        <v>31</v>
      </c>
      <c r="H22" s="93" t="s">
        <v>1642</v>
      </c>
      <c r="I22" s="140" t="s">
        <v>88</v>
      </c>
      <c r="J22" s="140" t="s">
        <v>89</v>
      </c>
      <c r="K22" s="47" t="s">
        <v>132</v>
      </c>
      <c r="L22" s="39"/>
      <c r="M22" s="140" t="s">
        <v>190</v>
      </c>
      <c r="N22" s="140" t="s">
        <v>192</v>
      </c>
      <c r="O22" s="47" t="s">
        <v>317</v>
      </c>
      <c r="P22" s="39"/>
      <c r="Q22" s="40">
        <v>345</v>
      </c>
      <c r="R22" s="38" t="str">
        <f>"211,8990"</f>
        <v>211,8990</v>
      </c>
      <c r="S22" s="18" t="s">
        <v>1741</v>
      </c>
    </row>
    <row r="23" spans="1:19" ht="12.75">
      <c r="A23" s="29">
        <v>1</v>
      </c>
      <c r="B23" s="469">
        <v>24</v>
      </c>
      <c r="C23" s="18" t="s">
        <v>4431</v>
      </c>
      <c r="D23" s="18" t="s">
        <v>1556</v>
      </c>
      <c r="E23" s="18" t="s">
        <v>1731</v>
      </c>
      <c r="F23" s="92" t="str">
        <f>"0,6186"</f>
        <v>0,6186</v>
      </c>
      <c r="G23" s="18" t="s">
        <v>2104</v>
      </c>
      <c r="H23" s="93" t="s">
        <v>1262</v>
      </c>
      <c r="I23" s="140" t="s">
        <v>350</v>
      </c>
      <c r="J23" s="140" t="s">
        <v>108</v>
      </c>
      <c r="K23" s="140" t="s">
        <v>176</v>
      </c>
      <c r="L23" s="39"/>
      <c r="M23" s="140" t="s">
        <v>239</v>
      </c>
      <c r="N23" s="140" t="s">
        <v>883</v>
      </c>
      <c r="O23" s="140" t="s">
        <v>319</v>
      </c>
      <c r="P23" s="39"/>
      <c r="Q23" s="40">
        <v>442.5</v>
      </c>
      <c r="R23" s="38" t="str">
        <f>"273,7305"</f>
        <v>273,7305</v>
      </c>
      <c r="S23" s="18" t="s">
        <v>51</v>
      </c>
    </row>
    <row r="24" spans="1:19" ht="12.75">
      <c r="A24" s="29">
        <v>1</v>
      </c>
      <c r="B24" s="469"/>
      <c r="C24" s="19" t="s">
        <v>4370</v>
      </c>
      <c r="D24" s="19" t="s">
        <v>223</v>
      </c>
      <c r="E24" s="19" t="s">
        <v>1732</v>
      </c>
      <c r="F24" s="94" t="str">
        <f>"0,6118"</f>
        <v>0,6118</v>
      </c>
      <c r="G24" s="19" t="s">
        <v>209</v>
      </c>
      <c r="H24" s="95" t="s">
        <v>1647</v>
      </c>
      <c r="I24" s="139" t="s">
        <v>108</v>
      </c>
      <c r="J24" s="48" t="s">
        <v>120</v>
      </c>
      <c r="K24" s="48" t="s">
        <v>120</v>
      </c>
      <c r="L24" s="42"/>
      <c r="M24" s="139" t="s">
        <v>238</v>
      </c>
      <c r="N24" s="139" t="s">
        <v>317</v>
      </c>
      <c r="O24" s="139" t="s">
        <v>319</v>
      </c>
      <c r="P24" s="48" t="s">
        <v>884</v>
      </c>
      <c r="Q24" s="43">
        <v>440</v>
      </c>
      <c r="R24" s="41" t="str">
        <f>"295,0344"</f>
        <v>295,0344</v>
      </c>
      <c r="S24" s="19" t="s">
        <v>2106</v>
      </c>
    </row>
    <row r="25" ht="12.75">
      <c r="B25" s="470"/>
    </row>
    <row r="26" spans="2:18" ht="15.75">
      <c r="B26" s="469"/>
      <c r="C26" s="541" t="s">
        <v>227</v>
      </c>
      <c r="D26" s="541"/>
      <c r="E26" s="541"/>
      <c r="F26" s="541"/>
      <c r="G26" s="541"/>
      <c r="H26" s="541"/>
      <c r="I26" s="541"/>
      <c r="J26" s="541"/>
      <c r="K26" s="541"/>
      <c r="L26" s="541"/>
      <c r="M26" s="541"/>
      <c r="N26" s="541"/>
      <c r="O26" s="541"/>
      <c r="P26" s="541"/>
      <c r="Q26" s="541"/>
      <c r="R26" s="541"/>
    </row>
    <row r="27" spans="1:19" ht="12.75">
      <c r="A27" s="29">
        <v>1</v>
      </c>
      <c r="B27" s="469"/>
      <c r="C27" s="17" t="s">
        <v>4432</v>
      </c>
      <c r="D27" s="17" t="s">
        <v>1047</v>
      </c>
      <c r="E27" s="17" t="s">
        <v>1733</v>
      </c>
      <c r="F27" s="17" t="str">
        <f>"0,5892"</f>
        <v>0,5892</v>
      </c>
      <c r="G27" s="17" t="s">
        <v>31</v>
      </c>
      <c r="H27" s="17" t="s">
        <v>1737</v>
      </c>
      <c r="I27" s="138" t="s">
        <v>175</v>
      </c>
      <c r="J27" s="138" t="s">
        <v>176</v>
      </c>
      <c r="K27" s="138" t="s">
        <v>120</v>
      </c>
      <c r="L27" s="36"/>
      <c r="M27" s="138" t="s">
        <v>901</v>
      </c>
      <c r="N27" s="138" t="s">
        <v>860</v>
      </c>
      <c r="O27" s="46" t="s">
        <v>902</v>
      </c>
      <c r="P27" s="36"/>
      <c r="Q27" s="44">
        <v>495</v>
      </c>
      <c r="R27" s="35" t="str">
        <f>"291,6540"</f>
        <v>291,6540</v>
      </c>
      <c r="S27" s="17" t="s">
        <v>1742</v>
      </c>
    </row>
    <row r="28" spans="1:19" ht="12.75">
      <c r="A28" s="29">
        <v>1</v>
      </c>
      <c r="B28" s="469">
        <v>24</v>
      </c>
      <c r="C28" s="18" t="s">
        <v>4433</v>
      </c>
      <c r="D28" s="18" t="s">
        <v>1558</v>
      </c>
      <c r="E28" s="18" t="s">
        <v>1734</v>
      </c>
      <c r="F28" s="18" t="str">
        <f>"0,5923"</f>
        <v>0,5923</v>
      </c>
      <c r="G28" s="18" t="s">
        <v>148</v>
      </c>
      <c r="H28" s="18" t="s">
        <v>1559</v>
      </c>
      <c r="I28" s="140" t="s">
        <v>175</v>
      </c>
      <c r="J28" s="140" t="s">
        <v>175</v>
      </c>
      <c r="K28" s="140" t="s">
        <v>635</v>
      </c>
      <c r="L28" s="39"/>
      <c r="M28" s="140" t="s">
        <v>884</v>
      </c>
      <c r="N28" s="140" t="s">
        <v>931</v>
      </c>
      <c r="O28" s="140" t="s">
        <v>341</v>
      </c>
      <c r="P28" s="39"/>
      <c r="Q28" s="40">
        <v>457.5</v>
      </c>
      <c r="R28" s="38" t="str">
        <f>"278,5646"</f>
        <v>278,5646</v>
      </c>
      <c r="S28" s="18" t="s">
        <v>1560</v>
      </c>
    </row>
    <row r="29" spans="1:19" ht="12.75">
      <c r="A29" s="29">
        <v>1</v>
      </c>
      <c r="B29" s="469">
        <v>12</v>
      </c>
      <c r="C29" s="19" t="s">
        <v>4434</v>
      </c>
      <c r="D29" s="19" t="s">
        <v>1400</v>
      </c>
      <c r="E29" s="19" t="s">
        <v>1724</v>
      </c>
      <c r="F29" s="19" t="str">
        <f>"0,5905"</f>
        <v>0,5905</v>
      </c>
      <c r="G29" s="19" t="s">
        <v>125</v>
      </c>
      <c r="H29" s="19" t="s">
        <v>1304</v>
      </c>
      <c r="I29" s="139" t="s">
        <v>551</v>
      </c>
      <c r="J29" s="139" t="s">
        <v>131</v>
      </c>
      <c r="K29" s="139" t="s">
        <v>297</v>
      </c>
      <c r="L29" s="42"/>
      <c r="M29" s="48" t="s">
        <v>845</v>
      </c>
      <c r="N29" s="139" t="s">
        <v>845</v>
      </c>
      <c r="O29" s="139" t="s">
        <v>913</v>
      </c>
      <c r="P29" s="42"/>
      <c r="Q29" s="43">
        <v>432.5</v>
      </c>
      <c r="R29" s="41" t="str">
        <f>"275,3118"</f>
        <v>275,3118</v>
      </c>
      <c r="S29" s="19" t="s">
        <v>1743</v>
      </c>
    </row>
    <row r="30" ht="12.75">
      <c r="B30" s="470"/>
    </row>
    <row r="31" spans="2:18" ht="15.75">
      <c r="B31" s="469"/>
      <c r="C31" s="560" t="s">
        <v>304</v>
      </c>
      <c r="D31" s="560"/>
      <c r="E31" s="560"/>
      <c r="F31" s="560"/>
      <c r="G31" s="560"/>
      <c r="H31" s="560"/>
      <c r="I31" s="560"/>
      <c r="J31" s="560"/>
      <c r="K31" s="560"/>
      <c r="L31" s="560"/>
      <c r="M31" s="560"/>
      <c r="N31" s="560"/>
      <c r="O31" s="560"/>
      <c r="P31" s="560"/>
      <c r="Q31" s="560"/>
      <c r="R31" s="560"/>
    </row>
    <row r="32" spans="1:19" ht="12.75">
      <c r="A32" s="29">
        <v>1</v>
      </c>
      <c r="B32" s="469"/>
      <c r="C32" s="83" t="s">
        <v>4435</v>
      </c>
      <c r="D32" s="83" t="s">
        <v>326</v>
      </c>
      <c r="E32" s="17" t="s">
        <v>1661</v>
      </c>
      <c r="F32" s="84" t="str">
        <f>"0,5757"</f>
        <v>0,5757</v>
      </c>
      <c r="G32" s="17" t="s">
        <v>209</v>
      </c>
      <c r="H32" s="84" t="s">
        <v>2130</v>
      </c>
      <c r="I32" s="138" t="s">
        <v>191</v>
      </c>
      <c r="J32" s="147" t="s">
        <v>237</v>
      </c>
      <c r="K32" s="46" t="s">
        <v>245</v>
      </c>
      <c r="L32" s="86"/>
      <c r="M32" s="46" t="s">
        <v>913</v>
      </c>
      <c r="N32" s="147" t="s">
        <v>913</v>
      </c>
      <c r="O32" s="46" t="s">
        <v>1045</v>
      </c>
      <c r="P32" s="86"/>
      <c r="Q32" s="151">
        <v>500</v>
      </c>
      <c r="R32" s="35" t="str">
        <f>"287,8500"</f>
        <v>287,8500</v>
      </c>
      <c r="S32" s="88" t="s">
        <v>2105</v>
      </c>
    </row>
    <row r="33" spans="1:19" ht="12.75">
      <c r="A33" s="29">
        <v>2</v>
      </c>
      <c r="B33" s="469">
        <v>21</v>
      </c>
      <c r="C33" s="92" t="s">
        <v>4220</v>
      </c>
      <c r="D33" s="92" t="s">
        <v>1404</v>
      </c>
      <c r="E33" s="18" t="s">
        <v>1735</v>
      </c>
      <c r="F33" s="79" t="str">
        <f>"0,5763"</f>
        <v>0,5763</v>
      </c>
      <c r="G33" s="18" t="s">
        <v>2104</v>
      </c>
      <c r="H33" s="79" t="s">
        <v>1642</v>
      </c>
      <c r="I33" s="140" t="s">
        <v>64</v>
      </c>
      <c r="J33" s="240" t="s">
        <v>127</v>
      </c>
      <c r="K33" s="140" t="s">
        <v>108</v>
      </c>
      <c r="L33" s="81"/>
      <c r="M33" s="140" t="s">
        <v>860</v>
      </c>
      <c r="N33" s="80" t="s">
        <v>1396</v>
      </c>
      <c r="O33" s="47" t="s">
        <v>1396</v>
      </c>
      <c r="P33" s="81"/>
      <c r="Q33" s="150">
        <v>490</v>
      </c>
      <c r="R33" s="38" t="str">
        <f>"282,3870"</f>
        <v>282,3870</v>
      </c>
      <c r="S33" s="93" t="s">
        <v>51</v>
      </c>
    </row>
    <row r="34" spans="1:19" ht="12.75">
      <c r="A34" s="29">
        <v>3</v>
      </c>
      <c r="B34" s="469"/>
      <c r="C34" s="92" t="s">
        <v>4219</v>
      </c>
      <c r="D34" s="92" t="s">
        <v>1255</v>
      </c>
      <c r="E34" s="18" t="s">
        <v>1662</v>
      </c>
      <c r="F34" s="79" t="str">
        <f>"0,5785"</f>
        <v>0,5785</v>
      </c>
      <c r="G34" s="18" t="s">
        <v>209</v>
      </c>
      <c r="H34" s="79" t="s">
        <v>1647</v>
      </c>
      <c r="I34" s="140" t="s">
        <v>64</v>
      </c>
      <c r="J34" s="240" t="s">
        <v>153</v>
      </c>
      <c r="K34" s="47" t="s">
        <v>126</v>
      </c>
      <c r="L34" s="81"/>
      <c r="M34" s="140" t="s">
        <v>901</v>
      </c>
      <c r="N34" s="240" t="s">
        <v>860</v>
      </c>
      <c r="O34" s="47" t="s">
        <v>834</v>
      </c>
      <c r="P34" s="81"/>
      <c r="Q34" s="150">
        <v>470</v>
      </c>
      <c r="R34" s="38" t="str">
        <f>"271,8950"</f>
        <v>271,8950</v>
      </c>
      <c r="S34" s="93" t="s">
        <v>2106</v>
      </c>
    </row>
    <row r="35" spans="1:19" ht="12.75">
      <c r="A35" s="29">
        <v>4</v>
      </c>
      <c r="B35" s="469">
        <v>7</v>
      </c>
      <c r="C35" s="92" t="s">
        <v>4221</v>
      </c>
      <c r="D35" s="92" t="s">
        <v>335</v>
      </c>
      <c r="E35" s="18" t="s">
        <v>88</v>
      </c>
      <c r="F35" s="79" t="str">
        <f>"0,5749"</f>
        <v>0,5749</v>
      </c>
      <c r="G35" s="18" t="s">
        <v>2104</v>
      </c>
      <c r="H35" s="79" t="s">
        <v>337</v>
      </c>
      <c r="I35" s="140" t="s">
        <v>175</v>
      </c>
      <c r="J35" s="240" t="s">
        <v>120</v>
      </c>
      <c r="K35" s="47" t="s">
        <v>190</v>
      </c>
      <c r="L35" s="81"/>
      <c r="M35" s="47" t="s">
        <v>319</v>
      </c>
      <c r="N35" s="240" t="s">
        <v>319</v>
      </c>
      <c r="O35" s="140" t="s">
        <v>992</v>
      </c>
      <c r="P35" s="81"/>
      <c r="Q35" s="150">
        <v>460</v>
      </c>
      <c r="R35" s="38" t="str">
        <f>"264,4540"</f>
        <v>264,4540</v>
      </c>
      <c r="S35" s="93" t="s">
        <v>1670</v>
      </c>
    </row>
    <row r="36" spans="1:19" ht="12.75">
      <c r="A36" s="446">
        <v>5</v>
      </c>
      <c r="B36" s="469">
        <v>6</v>
      </c>
      <c r="C36" s="94" t="s">
        <v>4514</v>
      </c>
      <c r="D36" s="94" t="s">
        <v>1257</v>
      </c>
      <c r="E36" s="19" t="s">
        <v>1937</v>
      </c>
      <c r="F36" s="98" t="str">
        <f>"0,5853"</f>
        <v>0,5853</v>
      </c>
      <c r="G36" s="19" t="s">
        <v>2104</v>
      </c>
      <c r="H36" s="98" t="s">
        <v>1903</v>
      </c>
      <c r="I36" s="139" t="s">
        <v>153</v>
      </c>
      <c r="J36" s="153" t="s">
        <v>127</v>
      </c>
      <c r="K36" s="139" t="s">
        <v>127</v>
      </c>
      <c r="L36" s="99"/>
      <c r="M36" s="139" t="s">
        <v>317</v>
      </c>
      <c r="N36" s="153" t="s">
        <v>845</v>
      </c>
      <c r="O36" s="48" t="s">
        <v>845</v>
      </c>
      <c r="P36" s="99"/>
      <c r="Q36" s="152">
        <v>420</v>
      </c>
      <c r="R36" s="41" t="s">
        <v>4511</v>
      </c>
      <c r="S36" s="95" t="s">
        <v>1904</v>
      </c>
    </row>
    <row r="37" ht="12.75">
      <c r="B37" s="470"/>
    </row>
    <row r="38" spans="2:18" ht="15.75">
      <c r="B38" s="469"/>
      <c r="C38" s="541" t="s">
        <v>355</v>
      </c>
      <c r="D38" s="541"/>
      <c r="E38" s="541"/>
      <c r="F38" s="541"/>
      <c r="G38" s="541"/>
      <c r="H38" s="541"/>
      <c r="I38" s="541"/>
      <c r="J38" s="541"/>
      <c r="K38" s="541"/>
      <c r="L38" s="541"/>
      <c r="M38" s="541"/>
      <c r="N38" s="541"/>
      <c r="O38" s="541"/>
      <c r="P38" s="541"/>
      <c r="Q38" s="541"/>
      <c r="R38" s="541"/>
    </row>
    <row r="39" spans="1:19" ht="12.75">
      <c r="A39" s="29">
        <v>1</v>
      </c>
      <c r="B39" s="469">
        <v>24</v>
      </c>
      <c r="C39" s="17" t="s">
        <v>4402</v>
      </c>
      <c r="D39" s="17" t="s">
        <v>1561</v>
      </c>
      <c r="E39" s="17" t="s">
        <v>1736</v>
      </c>
      <c r="F39" s="17" t="str">
        <f>"0,5662"</f>
        <v>0,5662</v>
      </c>
      <c r="G39" s="17" t="s">
        <v>301</v>
      </c>
      <c r="H39" s="17" t="s">
        <v>302</v>
      </c>
      <c r="I39" s="138" t="s">
        <v>190</v>
      </c>
      <c r="J39" s="138" t="s">
        <v>253</v>
      </c>
      <c r="K39" s="46" t="s">
        <v>312</v>
      </c>
      <c r="L39" s="36"/>
      <c r="M39" s="138" t="s">
        <v>860</v>
      </c>
      <c r="N39" s="138" t="s">
        <v>835</v>
      </c>
      <c r="O39" s="138" t="s">
        <v>1150</v>
      </c>
      <c r="P39" s="36"/>
      <c r="Q39" s="44">
        <v>545</v>
      </c>
      <c r="R39" s="35" t="str">
        <f>"308,5790"</f>
        <v>308,5790</v>
      </c>
      <c r="S39" s="17" t="s">
        <v>51</v>
      </c>
    </row>
    <row r="40" spans="1:19" ht="12.75">
      <c r="A40" s="29">
        <v>1</v>
      </c>
      <c r="B40" s="469">
        <v>24</v>
      </c>
      <c r="C40" s="19" t="s">
        <v>4402</v>
      </c>
      <c r="D40" s="19" t="s">
        <v>362</v>
      </c>
      <c r="E40" s="19" t="s">
        <v>1736</v>
      </c>
      <c r="F40" s="19" t="str">
        <f>"0,5662"</f>
        <v>0,5662</v>
      </c>
      <c r="G40" s="19" t="s">
        <v>301</v>
      </c>
      <c r="H40" s="19" t="s">
        <v>302</v>
      </c>
      <c r="I40" s="139" t="s">
        <v>190</v>
      </c>
      <c r="J40" s="139" t="s">
        <v>253</v>
      </c>
      <c r="K40" s="48" t="s">
        <v>312</v>
      </c>
      <c r="L40" s="42"/>
      <c r="M40" s="139" t="s">
        <v>860</v>
      </c>
      <c r="N40" s="139" t="s">
        <v>835</v>
      </c>
      <c r="O40" s="139" t="s">
        <v>1150</v>
      </c>
      <c r="P40" s="42"/>
      <c r="Q40" s="43">
        <v>545</v>
      </c>
      <c r="R40" s="41" t="str">
        <f>"308,5790"</f>
        <v>308,5790</v>
      </c>
      <c r="S40" s="19" t="s">
        <v>51</v>
      </c>
    </row>
    <row r="41" ht="12.75">
      <c r="B41" s="470"/>
    </row>
    <row r="42" spans="3:4" ht="18">
      <c r="C42" s="16" t="s">
        <v>370</v>
      </c>
      <c r="D42" s="16"/>
    </row>
    <row r="43" spans="3:4" ht="15.75">
      <c r="C43" s="22" t="s">
        <v>387</v>
      </c>
      <c r="D43" s="22"/>
    </row>
    <row r="44" spans="3:4" ht="13.5">
      <c r="C44" s="24"/>
      <c r="D44" s="25" t="s">
        <v>2102</v>
      </c>
    </row>
    <row r="45" spans="3:7" ht="13.5">
      <c r="C45" s="26" t="s">
        <v>373</v>
      </c>
      <c r="D45" s="26" t="s">
        <v>374</v>
      </c>
      <c r="E45" s="26" t="s">
        <v>375</v>
      </c>
      <c r="F45" s="26" t="s">
        <v>376</v>
      </c>
      <c r="G45" s="26" t="s">
        <v>377</v>
      </c>
    </row>
    <row r="46" spans="1:7" ht="12.75">
      <c r="A46" s="29">
        <v>1</v>
      </c>
      <c r="C46" s="90" t="s">
        <v>145</v>
      </c>
      <c r="D46" s="49" t="s">
        <v>372</v>
      </c>
      <c r="E46" s="49" t="s">
        <v>378</v>
      </c>
      <c r="F46" s="49" t="s">
        <v>1065</v>
      </c>
      <c r="G46" s="50" t="s">
        <v>1066</v>
      </c>
    </row>
    <row r="47" spans="1:7" ht="12.75">
      <c r="A47" s="29">
        <v>2</v>
      </c>
      <c r="C47" s="90" t="s">
        <v>361</v>
      </c>
      <c r="D47" s="49" t="s">
        <v>372</v>
      </c>
      <c r="E47" s="49" t="s">
        <v>400</v>
      </c>
      <c r="F47" s="49" t="s">
        <v>1284</v>
      </c>
      <c r="G47" s="50" t="s">
        <v>1562</v>
      </c>
    </row>
    <row r="48" spans="1:7" ht="12.75">
      <c r="A48" s="29">
        <v>3</v>
      </c>
      <c r="C48" s="90" t="s">
        <v>1046</v>
      </c>
      <c r="D48" s="49" t="s">
        <v>372</v>
      </c>
      <c r="E48" s="49" t="s">
        <v>392</v>
      </c>
      <c r="F48" s="49" t="s">
        <v>1065</v>
      </c>
      <c r="G48" s="50" t="s">
        <v>1563</v>
      </c>
    </row>
    <row r="49" spans="3:4" ht="13.5">
      <c r="C49" s="24"/>
      <c r="D49" s="25" t="s">
        <v>2102</v>
      </c>
    </row>
    <row r="50" spans="3:7" ht="13.5">
      <c r="C50" s="26" t="s">
        <v>373</v>
      </c>
      <c r="D50" s="26" t="s">
        <v>374</v>
      </c>
      <c r="E50" s="26" t="s">
        <v>375</v>
      </c>
      <c r="F50" s="26" t="s">
        <v>376</v>
      </c>
      <c r="G50" s="26" t="s">
        <v>377</v>
      </c>
    </row>
    <row r="51" spans="1:7" ht="12.75">
      <c r="A51" s="29">
        <v>1</v>
      </c>
      <c r="C51" s="90" t="s">
        <v>361</v>
      </c>
      <c r="D51" s="49" t="s">
        <v>386</v>
      </c>
      <c r="E51" s="49" t="s">
        <v>400</v>
      </c>
      <c r="F51" s="49" t="s">
        <v>1284</v>
      </c>
      <c r="G51" s="50" t="s">
        <v>1562</v>
      </c>
    </row>
    <row r="52" spans="1:7" ht="12.75">
      <c r="A52" s="29">
        <v>2</v>
      </c>
      <c r="C52" s="90" t="s">
        <v>206</v>
      </c>
      <c r="D52" s="49" t="s">
        <v>384</v>
      </c>
      <c r="E52" s="49" t="s">
        <v>397</v>
      </c>
      <c r="F52" s="49" t="s">
        <v>1564</v>
      </c>
      <c r="G52" s="50" t="s">
        <v>1567</v>
      </c>
    </row>
    <row r="53" spans="1:7" ht="12.75">
      <c r="A53" s="29">
        <v>3</v>
      </c>
      <c r="C53" s="90" t="s">
        <v>1557</v>
      </c>
      <c r="D53" s="49" t="s">
        <v>386</v>
      </c>
      <c r="E53" s="49" t="s">
        <v>392</v>
      </c>
      <c r="F53" s="49" t="s">
        <v>1568</v>
      </c>
      <c r="G53" s="50" t="s">
        <v>1569</v>
      </c>
    </row>
  </sheetData>
  <sheetProtection/>
  <mergeCells count="22">
    <mergeCell ref="C38:R38"/>
    <mergeCell ref="Q3:Q4"/>
    <mergeCell ref="R3:R4"/>
    <mergeCell ref="H3:H4"/>
    <mergeCell ref="I3:L3"/>
    <mergeCell ref="C14:R14"/>
    <mergeCell ref="C19:R19"/>
    <mergeCell ref="C11:R11"/>
    <mergeCell ref="C1:S2"/>
    <mergeCell ref="C3:C4"/>
    <mergeCell ref="D3:D4"/>
    <mergeCell ref="E3:E4"/>
    <mergeCell ref="F3:F4"/>
    <mergeCell ref="C5:R5"/>
    <mergeCell ref="A3:A4"/>
    <mergeCell ref="M3:P3"/>
    <mergeCell ref="G3:G4"/>
    <mergeCell ref="S3:S4"/>
    <mergeCell ref="C26:R26"/>
    <mergeCell ref="C31:R31"/>
    <mergeCell ref="C8:R8"/>
    <mergeCell ref="B3:B4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V24"/>
  <sheetViews>
    <sheetView workbookViewId="0" topLeftCell="A2">
      <selection activeCell="G22" sqref="G22"/>
    </sheetView>
  </sheetViews>
  <sheetFormatPr defaultColWidth="8.75390625" defaultRowHeight="12.75"/>
  <cols>
    <col min="1" max="1" width="8.00390625" style="29" customWidth="1"/>
    <col min="2" max="2" width="23.125" style="15" customWidth="1"/>
    <col min="3" max="3" width="26.875" style="15" bestFit="1" customWidth="1"/>
    <col min="4" max="4" width="9.75390625" style="15" customWidth="1"/>
    <col min="5" max="5" width="8.375" style="15" bestFit="1" customWidth="1"/>
    <col min="6" max="6" width="12.875" style="15" customWidth="1"/>
    <col min="7" max="7" width="31.75390625" style="15" bestFit="1" customWidth="1"/>
    <col min="8" max="8" width="5.375" style="15" customWidth="1"/>
    <col min="9" max="10" width="5.625" style="15" bestFit="1" customWidth="1"/>
    <col min="11" max="11" width="4.625" style="15" bestFit="1" customWidth="1"/>
    <col min="12" max="14" width="5.625" style="15" bestFit="1" customWidth="1"/>
    <col min="15" max="15" width="4.625" style="15" bestFit="1" customWidth="1"/>
    <col min="16" max="18" width="5.625" style="15" bestFit="1" customWidth="1"/>
    <col min="19" max="19" width="4.625" style="15" bestFit="1" customWidth="1"/>
    <col min="20" max="20" width="7.875" style="15" bestFit="1" customWidth="1"/>
    <col min="21" max="21" width="8.625" style="15" bestFit="1" customWidth="1"/>
    <col min="22" max="22" width="15.625" style="15" customWidth="1"/>
  </cols>
  <sheetData>
    <row r="1" spans="1:22" s="1" customFormat="1" ht="15" customHeight="1">
      <c r="A1" s="28"/>
      <c r="B1" s="552" t="s">
        <v>2165</v>
      </c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</row>
    <row r="2" spans="1:22" s="1" customFormat="1" ht="108" customHeight="1" thickBot="1">
      <c r="A2" s="28"/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</row>
    <row r="3" spans="1:22" s="2" customFormat="1" ht="12.75" customHeight="1">
      <c r="A3" s="546" t="s">
        <v>1627</v>
      </c>
      <c r="B3" s="542" t="s">
        <v>0</v>
      </c>
      <c r="C3" s="548" t="s">
        <v>1628</v>
      </c>
      <c r="D3" s="548" t="s">
        <v>1629</v>
      </c>
      <c r="E3" s="542" t="s">
        <v>9</v>
      </c>
      <c r="F3" s="542" t="s">
        <v>7</v>
      </c>
      <c r="G3" s="514" t="s">
        <v>3275</v>
      </c>
      <c r="H3" s="542" t="s">
        <v>1</v>
      </c>
      <c r="I3" s="542"/>
      <c r="J3" s="542"/>
      <c r="K3" s="542"/>
      <c r="L3" s="542" t="s">
        <v>2</v>
      </c>
      <c r="M3" s="542"/>
      <c r="N3" s="542"/>
      <c r="O3" s="542"/>
      <c r="P3" s="542" t="s">
        <v>3</v>
      </c>
      <c r="Q3" s="542"/>
      <c r="R3" s="542"/>
      <c r="S3" s="542"/>
      <c r="T3" s="542" t="s">
        <v>4</v>
      </c>
      <c r="U3" s="542" t="s">
        <v>6</v>
      </c>
      <c r="V3" s="544" t="s">
        <v>5</v>
      </c>
    </row>
    <row r="4" spans="1:22" s="2" customFormat="1" ht="21" customHeight="1" thickBot="1">
      <c r="A4" s="547"/>
      <c r="B4" s="543"/>
      <c r="C4" s="543"/>
      <c r="D4" s="549"/>
      <c r="E4" s="543"/>
      <c r="F4" s="543"/>
      <c r="G4" s="515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543"/>
      <c r="U4" s="543"/>
      <c r="V4" s="545"/>
    </row>
    <row r="5" spans="2:21" ht="15.75">
      <c r="B5" s="557" t="s">
        <v>80</v>
      </c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</row>
    <row r="6" spans="1:22" ht="12.75">
      <c r="A6" s="29">
        <v>1</v>
      </c>
      <c r="B6" s="17" t="s">
        <v>4546</v>
      </c>
      <c r="C6" s="17" t="s">
        <v>787</v>
      </c>
      <c r="D6" s="17" t="s">
        <v>788</v>
      </c>
      <c r="E6" s="17" t="str">
        <f>"1,1325"</f>
        <v>1,1325</v>
      </c>
      <c r="F6" s="17" t="s">
        <v>31</v>
      </c>
      <c r="G6" s="17" t="s">
        <v>692</v>
      </c>
      <c r="H6" s="46" t="s">
        <v>480</v>
      </c>
      <c r="I6" s="138" t="s">
        <v>480</v>
      </c>
      <c r="J6" s="138" t="s">
        <v>131</v>
      </c>
      <c r="K6" s="36"/>
      <c r="L6" s="46" t="s">
        <v>49</v>
      </c>
      <c r="M6" s="46" t="s">
        <v>49</v>
      </c>
      <c r="N6" s="138" t="s">
        <v>49</v>
      </c>
      <c r="O6" s="36"/>
      <c r="P6" s="138" t="s">
        <v>480</v>
      </c>
      <c r="Q6" s="46" t="s">
        <v>132</v>
      </c>
      <c r="R6" s="46" t="s">
        <v>132</v>
      </c>
      <c r="S6" s="36"/>
      <c r="T6" s="35" t="s">
        <v>911</v>
      </c>
      <c r="U6" s="35" t="s">
        <v>2217</v>
      </c>
      <c r="V6" s="17" t="s">
        <v>2033</v>
      </c>
    </row>
    <row r="7" spans="2:22" ht="12.75">
      <c r="B7" s="19" t="s">
        <v>789</v>
      </c>
      <c r="C7" s="19" t="s">
        <v>790</v>
      </c>
      <c r="D7" s="19" t="s">
        <v>82</v>
      </c>
      <c r="E7" s="19" t="str">
        <f>"1,1340"</f>
        <v>1,1340</v>
      </c>
      <c r="F7" s="19" t="s">
        <v>31</v>
      </c>
      <c r="G7" s="19" t="s">
        <v>692</v>
      </c>
      <c r="H7" s="139" t="s">
        <v>480</v>
      </c>
      <c r="I7" s="48" t="s">
        <v>131</v>
      </c>
      <c r="J7" s="139" t="s">
        <v>132</v>
      </c>
      <c r="K7" s="42"/>
      <c r="L7" s="48" t="s">
        <v>33</v>
      </c>
      <c r="M7" s="48" t="s">
        <v>33</v>
      </c>
      <c r="N7" s="48" t="s">
        <v>33</v>
      </c>
      <c r="O7" s="42"/>
      <c r="P7" s="42"/>
      <c r="Q7" s="42"/>
      <c r="R7" s="42"/>
      <c r="S7" s="42"/>
      <c r="T7" s="41">
        <v>0</v>
      </c>
      <c r="U7" s="41" t="s">
        <v>1639</v>
      </c>
      <c r="V7" s="19" t="s">
        <v>2033</v>
      </c>
    </row>
    <row r="9" spans="2:21" ht="15.75">
      <c r="B9" s="541" t="s">
        <v>116</v>
      </c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</row>
    <row r="10" spans="1:22" ht="12.75">
      <c r="A10" s="29">
        <v>1</v>
      </c>
      <c r="B10" s="20" t="s">
        <v>4547</v>
      </c>
      <c r="C10" s="20" t="s">
        <v>792</v>
      </c>
      <c r="D10" s="20" t="s">
        <v>793</v>
      </c>
      <c r="E10" s="20" t="str">
        <f>"0,6811"</f>
        <v>0,6811</v>
      </c>
      <c r="F10" s="20" t="s">
        <v>31</v>
      </c>
      <c r="G10" s="20" t="s">
        <v>692</v>
      </c>
      <c r="H10" s="45" t="s">
        <v>153</v>
      </c>
      <c r="I10" s="134" t="s">
        <v>153</v>
      </c>
      <c r="J10" s="45" t="s">
        <v>127</v>
      </c>
      <c r="K10" s="31"/>
      <c r="L10" s="45" t="s">
        <v>88</v>
      </c>
      <c r="M10" s="134" t="s">
        <v>88</v>
      </c>
      <c r="N10" s="45" t="s">
        <v>89</v>
      </c>
      <c r="O10" s="31"/>
      <c r="P10" s="134" t="s">
        <v>190</v>
      </c>
      <c r="Q10" s="134" t="s">
        <v>191</v>
      </c>
      <c r="R10" s="45" t="s">
        <v>237</v>
      </c>
      <c r="S10" s="31"/>
      <c r="T10" s="33" t="s">
        <v>799</v>
      </c>
      <c r="U10" s="33" t="str">
        <f>"340,5500"</f>
        <v>340,5500</v>
      </c>
      <c r="V10" s="20" t="s">
        <v>2033</v>
      </c>
    </row>
    <row r="12" spans="2:21" ht="15.75">
      <c r="B12" s="541" t="s">
        <v>59</v>
      </c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</row>
    <row r="13" spans="1:22" ht="12.75">
      <c r="A13" s="29">
        <v>1</v>
      </c>
      <c r="B13" s="20" t="s">
        <v>4548</v>
      </c>
      <c r="C13" s="20" t="s">
        <v>795</v>
      </c>
      <c r="D13" s="20" t="s">
        <v>640</v>
      </c>
      <c r="E13" s="20" t="str">
        <f>"0,6451"</f>
        <v>0,6451</v>
      </c>
      <c r="F13" s="20" t="s">
        <v>31</v>
      </c>
      <c r="G13" s="20" t="s">
        <v>1642</v>
      </c>
      <c r="H13" s="45" t="s">
        <v>127</v>
      </c>
      <c r="I13" s="134" t="s">
        <v>127</v>
      </c>
      <c r="J13" s="45" t="s">
        <v>108</v>
      </c>
      <c r="K13" s="31"/>
      <c r="L13" s="45" t="s">
        <v>480</v>
      </c>
      <c r="M13" s="134" t="s">
        <v>480</v>
      </c>
      <c r="N13" s="45" t="s">
        <v>132</v>
      </c>
      <c r="O13" s="31"/>
      <c r="P13" s="134" t="s">
        <v>153</v>
      </c>
      <c r="Q13" s="134" t="s">
        <v>175</v>
      </c>
      <c r="R13" s="134" t="s">
        <v>120</v>
      </c>
      <c r="S13" s="31"/>
      <c r="T13" s="33" t="s">
        <v>800</v>
      </c>
      <c r="U13" s="33" t="str">
        <f>"332,2265"</f>
        <v>332,2265</v>
      </c>
      <c r="V13" s="20" t="s">
        <v>2048</v>
      </c>
    </row>
    <row r="15" spans="2:21" ht="15.75">
      <c r="B15" s="541" t="s">
        <v>164</v>
      </c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1"/>
      <c r="O15" s="541"/>
      <c r="P15" s="541"/>
      <c r="Q15" s="541"/>
      <c r="R15" s="541"/>
      <c r="S15" s="541"/>
      <c r="T15" s="541"/>
      <c r="U15" s="541"/>
    </row>
    <row r="16" spans="1:22" ht="12.75">
      <c r="A16" s="29">
        <v>1</v>
      </c>
      <c r="B16" s="20" t="s">
        <v>4549</v>
      </c>
      <c r="C16" s="20" t="s">
        <v>797</v>
      </c>
      <c r="D16" s="20" t="s">
        <v>798</v>
      </c>
      <c r="E16" s="20" t="str">
        <f>"0,6163"</f>
        <v>0,6163</v>
      </c>
      <c r="F16" s="20" t="s">
        <v>31</v>
      </c>
      <c r="G16" s="20" t="s">
        <v>692</v>
      </c>
      <c r="H16" s="134" t="s">
        <v>237</v>
      </c>
      <c r="I16" s="45" t="s">
        <v>239</v>
      </c>
      <c r="J16" s="45" t="s">
        <v>239</v>
      </c>
      <c r="K16" s="31"/>
      <c r="L16" s="45" t="s">
        <v>175</v>
      </c>
      <c r="M16" s="134" t="s">
        <v>175</v>
      </c>
      <c r="N16" s="134" t="s">
        <v>190</v>
      </c>
      <c r="O16" s="31"/>
      <c r="P16" s="134" t="s">
        <v>319</v>
      </c>
      <c r="Q16" s="45" t="s">
        <v>341</v>
      </c>
      <c r="R16" s="45" t="s">
        <v>341</v>
      </c>
      <c r="S16" s="31"/>
      <c r="T16" s="33" t="s">
        <v>1064</v>
      </c>
      <c r="U16" s="33" t="s">
        <v>2216</v>
      </c>
      <c r="V16" s="20" t="s">
        <v>51</v>
      </c>
    </row>
    <row r="18" spans="2:3" ht="18">
      <c r="B18" s="16" t="s">
        <v>370</v>
      </c>
      <c r="C18" s="16"/>
    </row>
    <row r="19" spans="2:3" ht="15.75">
      <c r="B19" s="22" t="s">
        <v>387</v>
      </c>
      <c r="C19" s="22"/>
    </row>
    <row r="20" spans="2:3" ht="13.5">
      <c r="B20" s="24"/>
      <c r="C20" s="25" t="s">
        <v>2102</v>
      </c>
    </row>
    <row r="21" spans="2:6" ht="13.5">
      <c r="B21" s="26" t="s">
        <v>373</v>
      </c>
      <c r="C21" s="181" t="s">
        <v>374</v>
      </c>
      <c r="D21" s="181" t="s">
        <v>375</v>
      </c>
      <c r="E21" s="181" t="s">
        <v>376</v>
      </c>
      <c r="F21" s="181" t="s">
        <v>377</v>
      </c>
    </row>
    <row r="22" spans="1:6" ht="12.75">
      <c r="A22" s="29">
        <v>1</v>
      </c>
      <c r="B22" s="90" t="s">
        <v>796</v>
      </c>
      <c r="C22" s="49" t="s">
        <v>372</v>
      </c>
      <c r="D22" s="49" t="s">
        <v>397</v>
      </c>
      <c r="E22" s="49" t="s">
        <v>1064</v>
      </c>
      <c r="F22" s="33" t="s">
        <v>2216</v>
      </c>
    </row>
    <row r="23" spans="1:6" ht="12.75">
      <c r="A23" s="29">
        <v>2</v>
      </c>
      <c r="B23" s="90" t="s">
        <v>791</v>
      </c>
      <c r="C23" s="49" t="s">
        <v>372</v>
      </c>
      <c r="D23" s="49" t="s">
        <v>1646</v>
      </c>
      <c r="E23" s="49" t="s">
        <v>799</v>
      </c>
      <c r="F23" s="50" t="s">
        <v>2263</v>
      </c>
    </row>
    <row r="24" spans="1:6" ht="12.75">
      <c r="A24" s="29">
        <v>3</v>
      </c>
      <c r="B24" s="90" t="s">
        <v>794</v>
      </c>
      <c r="C24" s="49" t="s">
        <v>372</v>
      </c>
      <c r="D24" s="49" t="s">
        <v>378</v>
      </c>
      <c r="E24" s="49" t="s">
        <v>800</v>
      </c>
      <c r="F24" s="50" t="s">
        <v>2264</v>
      </c>
    </row>
  </sheetData>
  <sheetProtection/>
  <mergeCells count="18">
    <mergeCell ref="P3:S3"/>
    <mergeCell ref="B15:U15"/>
    <mergeCell ref="T3:T4"/>
    <mergeCell ref="U3:U4"/>
    <mergeCell ref="V3:V4"/>
    <mergeCell ref="B5:U5"/>
    <mergeCell ref="B9:U9"/>
    <mergeCell ref="B12:U12"/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W43"/>
  <sheetViews>
    <sheetView workbookViewId="0" topLeftCell="A3">
      <selection activeCell="I32" sqref="I32"/>
    </sheetView>
  </sheetViews>
  <sheetFormatPr defaultColWidth="8.75390625" defaultRowHeight="12.75"/>
  <cols>
    <col min="1" max="1" width="7.75390625" style="29" customWidth="1"/>
    <col min="2" max="2" width="11.25390625" style="410" customWidth="1"/>
    <col min="3" max="3" width="22.375" style="15" customWidth="1"/>
    <col min="4" max="4" width="26.875" style="15" bestFit="1" customWidth="1"/>
    <col min="5" max="5" width="8.875" style="15" customWidth="1"/>
    <col min="6" max="6" width="8.375" style="15" bestFit="1" customWidth="1"/>
    <col min="7" max="7" width="24.00390625" style="15" customWidth="1"/>
    <col min="8" max="8" width="36.00390625" style="15" customWidth="1"/>
    <col min="9" max="9" width="5.25390625" style="15" customWidth="1"/>
    <col min="10" max="11" width="5.625" style="15" bestFit="1" customWidth="1"/>
    <col min="12" max="12" width="4.625" style="15" bestFit="1" customWidth="1"/>
    <col min="13" max="15" width="5.625" style="15" bestFit="1" customWidth="1"/>
    <col min="16" max="16" width="4.625" style="15" bestFit="1" customWidth="1"/>
    <col min="17" max="20" width="5.625" style="15" bestFit="1" customWidth="1"/>
    <col min="21" max="21" width="7.875" style="30" bestFit="1" customWidth="1"/>
    <col min="22" max="22" width="8.625" style="15" bestFit="1" customWidth="1"/>
    <col min="23" max="23" width="16.25390625" style="15" customWidth="1"/>
  </cols>
  <sheetData>
    <row r="1" spans="1:23" s="1" customFormat="1" ht="15" customHeight="1">
      <c r="A1" s="28"/>
      <c r="B1" s="443"/>
      <c r="C1" s="552" t="s">
        <v>2176</v>
      </c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</row>
    <row r="2" spans="1:23" s="1" customFormat="1" ht="105.75" customHeight="1" thickBot="1">
      <c r="A2" s="28"/>
      <c r="B2" s="44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</row>
    <row r="3" spans="1:23" s="2" customFormat="1" ht="12.75" customHeight="1">
      <c r="A3" s="546" t="s">
        <v>1627</v>
      </c>
      <c r="B3" s="516" t="s">
        <v>4516</v>
      </c>
      <c r="C3" s="542" t="s">
        <v>0</v>
      </c>
      <c r="D3" s="548" t="s">
        <v>1628</v>
      </c>
      <c r="E3" s="548" t="s">
        <v>1629</v>
      </c>
      <c r="F3" s="542" t="s">
        <v>9</v>
      </c>
      <c r="G3" s="542" t="s">
        <v>7</v>
      </c>
      <c r="H3" s="514" t="s">
        <v>3275</v>
      </c>
      <c r="I3" s="542" t="s">
        <v>1</v>
      </c>
      <c r="J3" s="542"/>
      <c r="K3" s="542"/>
      <c r="L3" s="542"/>
      <c r="M3" s="542" t="s">
        <v>2</v>
      </c>
      <c r="N3" s="542"/>
      <c r="O3" s="542"/>
      <c r="P3" s="542"/>
      <c r="Q3" s="542" t="s">
        <v>3</v>
      </c>
      <c r="R3" s="542"/>
      <c r="S3" s="542"/>
      <c r="T3" s="542"/>
      <c r="U3" s="550" t="s">
        <v>4</v>
      </c>
      <c r="V3" s="542" t="s">
        <v>6</v>
      </c>
      <c r="W3" s="544" t="s">
        <v>5</v>
      </c>
    </row>
    <row r="4" spans="1:23" s="2" customFormat="1" ht="21" customHeight="1" thickBot="1">
      <c r="A4" s="547"/>
      <c r="B4" s="517"/>
      <c r="C4" s="543"/>
      <c r="D4" s="543"/>
      <c r="E4" s="549"/>
      <c r="F4" s="543"/>
      <c r="G4" s="543"/>
      <c r="H4" s="515"/>
      <c r="I4" s="3">
        <v>1</v>
      </c>
      <c r="J4" s="3">
        <v>2</v>
      </c>
      <c r="K4" s="3">
        <v>3</v>
      </c>
      <c r="L4" s="3" t="s">
        <v>8</v>
      </c>
      <c r="M4" s="3">
        <v>1</v>
      </c>
      <c r="N4" s="3">
        <v>2</v>
      </c>
      <c r="O4" s="3">
        <v>3</v>
      </c>
      <c r="P4" s="3" t="s">
        <v>8</v>
      </c>
      <c r="Q4" s="3">
        <v>1</v>
      </c>
      <c r="R4" s="3">
        <v>2</v>
      </c>
      <c r="S4" s="3">
        <v>3</v>
      </c>
      <c r="T4" s="3" t="s">
        <v>8</v>
      </c>
      <c r="U4" s="551"/>
      <c r="V4" s="543"/>
      <c r="W4" s="545"/>
    </row>
    <row r="5" spans="3:22" ht="15.75">
      <c r="C5" s="526" t="s">
        <v>66</v>
      </c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</row>
    <row r="6" spans="1:23" ht="12.75">
      <c r="A6" s="29">
        <v>1</v>
      </c>
      <c r="B6" s="410">
        <v>24</v>
      </c>
      <c r="C6" s="20" t="s">
        <v>4550</v>
      </c>
      <c r="D6" s="20" t="s">
        <v>981</v>
      </c>
      <c r="E6" s="20" t="s">
        <v>982</v>
      </c>
      <c r="F6" s="20" t="str">
        <f>"1,2616"</f>
        <v>1,2616</v>
      </c>
      <c r="G6" s="20" t="s">
        <v>54</v>
      </c>
      <c r="H6" s="20" t="s">
        <v>1641</v>
      </c>
      <c r="I6" s="134" t="s">
        <v>88</v>
      </c>
      <c r="J6" s="45" t="s">
        <v>89</v>
      </c>
      <c r="K6" s="45" t="s">
        <v>89</v>
      </c>
      <c r="L6" s="31"/>
      <c r="M6" s="134" t="s">
        <v>95</v>
      </c>
      <c r="N6" s="134" t="s">
        <v>416</v>
      </c>
      <c r="O6" s="45" t="s">
        <v>57</v>
      </c>
      <c r="P6" s="31"/>
      <c r="Q6" s="134" t="s">
        <v>25</v>
      </c>
      <c r="R6" s="134" t="s">
        <v>88</v>
      </c>
      <c r="S6" s="134" t="s">
        <v>89</v>
      </c>
      <c r="T6" s="31"/>
      <c r="U6" s="34">
        <v>320</v>
      </c>
      <c r="V6" s="33" t="str">
        <f>"403,7120"</f>
        <v>403,7120</v>
      </c>
      <c r="W6" s="20" t="s">
        <v>2031</v>
      </c>
    </row>
    <row r="8" spans="3:22" ht="15.75">
      <c r="C8" s="541" t="s">
        <v>10</v>
      </c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</row>
    <row r="9" spans="1:23" ht="12.75">
      <c r="A9" s="29">
        <v>1</v>
      </c>
      <c r="C9" s="20" t="s">
        <v>4551</v>
      </c>
      <c r="D9" s="20" t="s">
        <v>984</v>
      </c>
      <c r="E9" s="20" t="s">
        <v>13</v>
      </c>
      <c r="F9" s="20" t="str">
        <f>"1,1950"</f>
        <v>1,1950</v>
      </c>
      <c r="G9" s="20" t="s">
        <v>31</v>
      </c>
      <c r="H9" s="20" t="s">
        <v>1746</v>
      </c>
      <c r="I9" s="134" t="s">
        <v>25</v>
      </c>
      <c r="J9" s="134" t="s">
        <v>88</v>
      </c>
      <c r="K9" s="134" t="s">
        <v>89</v>
      </c>
      <c r="L9" s="31"/>
      <c r="M9" s="134" t="s">
        <v>419</v>
      </c>
      <c r="N9" s="134" t="s">
        <v>94</v>
      </c>
      <c r="O9" s="134" t="s">
        <v>95</v>
      </c>
      <c r="P9" s="31"/>
      <c r="Q9" s="134" t="s">
        <v>598</v>
      </c>
      <c r="R9" s="134" t="s">
        <v>132</v>
      </c>
      <c r="S9" s="45" t="s">
        <v>76</v>
      </c>
      <c r="T9" s="31"/>
      <c r="U9" s="34">
        <v>345</v>
      </c>
      <c r="V9" s="33" t="str">
        <f>"412,2750"</f>
        <v>412,2750</v>
      </c>
      <c r="W9" s="20" t="s">
        <v>2032</v>
      </c>
    </row>
    <row r="11" spans="3:22" ht="15.75">
      <c r="C11" s="541" t="s">
        <v>18</v>
      </c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1"/>
      <c r="U11" s="541"/>
      <c r="V11" s="541"/>
    </row>
    <row r="12" spans="1:23" ht="12.75">
      <c r="A12" s="29">
        <v>1</v>
      </c>
      <c r="C12" s="20" t="s">
        <v>4552</v>
      </c>
      <c r="D12" s="20" t="s">
        <v>986</v>
      </c>
      <c r="E12" s="20" t="s">
        <v>987</v>
      </c>
      <c r="F12" s="20" t="str">
        <f>"1,0250"</f>
        <v>1,0250</v>
      </c>
      <c r="G12" s="20" t="s">
        <v>31</v>
      </c>
      <c r="H12" s="20" t="s">
        <v>692</v>
      </c>
      <c r="I12" s="134" t="s">
        <v>49</v>
      </c>
      <c r="J12" s="45" t="s">
        <v>303</v>
      </c>
      <c r="K12" s="45" t="s">
        <v>303</v>
      </c>
      <c r="L12" s="31"/>
      <c r="M12" s="45" t="s">
        <v>94</v>
      </c>
      <c r="N12" s="134" t="s">
        <v>94</v>
      </c>
      <c r="O12" s="134" t="s">
        <v>95</v>
      </c>
      <c r="P12" s="31"/>
      <c r="Q12" s="134" t="s">
        <v>49</v>
      </c>
      <c r="R12" s="134" t="s">
        <v>303</v>
      </c>
      <c r="S12" s="134" t="s">
        <v>25</v>
      </c>
      <c r="T12" s="31"/>
      <c r="U12" s="34">
        <v>265</v>
      </c>
      <c r="V12" s="33" t="s">
        <v>2266</v>
      </c>
      <c r="W12" s="20" t="s">
        <v>2033</v>
      </c>
    </row>
    <row r="14" spans="3:22" ht="15.75">
      <c r="C14" s="541" t="s">
        <v>116</v>
      </c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1"/>
      <c r="S14" s="541"/>
      <c r="T14" s="541"/>
      <c r="U14" s="541"/>
      <c r="V14" s="541"/>
    </row>
    <row r="15" spans="3:23" ht="12.75">
      <c r="C15" s="20" t="s">
        <v>988</v>
      </c>
      <c r="D15" s="20" t="s">
        <v>422</v>
      </c>
      <c r="E15" s="20" t="s">
        <v>989</v>
      </c>
      <c r="F15" s="20" t="str">
        <f>"0,6806"</f>
        <v>0,6806</v>
      </c>
      <c r="G15" s="20" t="s">
        <v>31</v>
      </c>
      <c r="H15" s="20" t="s">
        <v>1903</v>
      </c>
      <c r="I15" s="134" t="s">
        <v>845</v>
      </c>
      <c r="J15" s="134" t="s">
        <v>847</v>
      </c>
      <c r="K15" s="134" t="s">
        <v>990</v>
      </c>
      <c r="L15" s="31"/>
      <c r="M15" s="45" t="s">
        <v>126</v>
      </c>
      <c r="N15" s="45" t="s">
        <v>126</v>
      </c>
      <c r="O15" s="45" t="s">
        <v>126</v>
      </c>
      <c r="P15" s="31"/>
      <c r="Q15" s="31"/>
      <c r="R15" s="31"/>
      <c r="S15" s="31"/>
      <c r="T15" s="31"/>
      <c r="U15" s="32">
        <v>0</v>
      </c>
      <c r="V15" s="33" t="s">
        <v>1639</v>
      </c>
      <c r="W15" s="20" t="s">
        <v>2030</v>
      </c>
    </row>
    <row r="17" spans="3:22" ht="15.75">
      <c r="C17" s="541" t="s">
        <v>59</v>
      </c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41"/>
      <c r="P17" s="541"/>
      <c r="Q17" s="541"/>
      <c r="R17" s="541"/>
      <c r="S17" s="541"/>
      <c r="T17" s="541"/>
      <c r="U17" s="541"/>
      <c r="V17" s="541"/>
    </row>
    <row r="18" spans="1:23" ht="12.75">
      <c r="A18" s="29">
        <v>1</v>
      </c>
      <c r="C18" s="20" t="s">
        <v>3884</v>
      </c>
      <c r="D18" s="20" t="s">
        <v>156</v>
      </c>
      <c r="E18" s="20" t="s">
        <v>157</v>
      </c>
      <c r="F18" s="20" t="str">
        <f>"0,6410"</f>
        <v>0,6410</v>
      </c>
      <c r="G18" s="20" t="s">
        <v>31</v>
      </c>
      <c r="H18" s="20" t="s">
        <v>1675</v>
      </c>
      <c r="I18" s="134" t="s">
        <v>237</v>
      </c>
      <c r="J18" s="134" t="s">
        <v>239</v>
      </c>
      <c r="K18" s="31"/>
      <c r="L18" s="31"/>
      <c r="M18" s="45" t="s">
        <v>190</v>
      </c>
      <c r="N18" s="134" t="s">
        <v>190</v>
      </c>
      <c r="O18" s="45" t="s">
        <v>191</v>
      </c>
      <c r="P18" s="31"/>
      <c r="Q18" s="134" t="s">
        <v>992</v>
      </c>
      <c r="R18" s="134" t="s">
        <v>341</v>
      </c>
      <c r="S18" s="31"/>
      <c r="T18" s="31"/>
      <c r="U18" s="34">
        <v>705</v>
      </c>
      <c r="V18" s="33" t="str">
        <f>"451,9050"</f>
        <v>451,9050</v>
      </c>
      <c r="W18" s="20" t="s">
        <v>158</v>
      </c>
    </row>
    <row r="20" spans="3:22" ht="15.75">
      <c r="C20" s="541" t="s">
        <v>164</v>
      </c>
      <c r="D20" s="541"/>
      <c r="E20" s="541"/>
      <c r="F20" s="541"/>
      <c r="G20" s="541"/>
      <c r="H20" s="541"/>
      <c r="I20" s="541"/>
      <c r="J20" s="541"/>
      <c r="K20" s="541"/>
      <c r="L20" s="541"/>
      <c r="M20" s="541"/>
      <c r="N20" s="541"/>
      <c r="O20" s="541"/>
      <c r="P20" s="541"/>
      <c r="Q20" s="541"/>
      <c r="R20" s="541"/>
      <c r="S20" s="541"/>
      <c r="T20" s="541"/>
      <c r="U20" s="541"/>
      <c r="V20" s="541"/>
    </row>
    <row r="21" spans="1:23" ht="12.75">
      <c r="A21" s="29">
        <v>1</v>
      </c>
      <c r="B21" s="410">
        <v>24</v>
      </c>
      <c r="C21" s="20" t="s">
        <v>4553</v>
      </c>
      <c r="D21" s="20" t="s">
        <v>994</v>
      </c>
      <c r="E21" s="20" t="s">
        <v>995</v>
      </c>
      <c r="F21" s="20" t="str">
        <f>"0,6214"</f>
        <v>0,6214</v>
      </c>
      <c r="G21" s="20" t="s">
        <v>130</v>
      </c>
      <c r="H21" s="20" t="s">
        <v>2029</v>
      </c>
      <c r="I21" s="134" t="s">
        <v>319</v>
      </c>
      <c r="J21" s="45" t="s">
        <v>845</v>
      </c>
      <c r="K21" s="134" t="s">
        <v>845</v>
      </c>
      <c r="L21" s="31"/>
      <c r="M21" s="134" t="s">
        <v>108</v>
      </c>
      <c r="N21" s="45" t="s">
        <v>190</v>
      </c>
      <c r="O21" s="45" t="s">
        <v>190</v>
      </c>
      <c r="P21" s="31"/>
      <c r="Q21" s="134" t="s">
        <v>238</v>
      </c>
      <c r="R21" s="134" t="s">
        <v>317</v>
      </c>
      <c r="S21" s="134" t="s">
        <v>319</v>
      </c>
      <c r="T21" s="31"/>
      <c r="U21" s="34">
        <v>700</v>
      </c>
      <c r="V21" s="33" t="str">
        <f>"434,9800"</f>
        <v>434,9800</v>
      </c>
      <c r="W21" s="20" t="s">
        <v>51</v>
      </c>
    </row>
    <row r="23" spans="3:22" ht="15.75">
      <c r="C23" s="541" t="s">
        <v>227</v>
      </c>
      <c r="D23" s="541"/>
      <c r="E23" s="541"/>
      <c r="F23" s="541"/>
      <c r="G23" s="541"/>
      <c r="H23" s="541"/>
      <c r="I23" s="541"/>
      <c r="J23" s="541"/>
      <c r="K23" s="541"/>
      <c r="L23" s="541"/>
      <c r="M23" s="541"/>
      <c r="N23" s="541"/>
      <c r="O23" s="541"/>
      <c r="P23" s="541"/>
      <c r="Q23" s="541"/>
      <c r="R23" s="541"/>
      <c r="S23" s="541"/>
      <c r="T23" s="541"/>
      <c r="U23" s="541"/>
      <c r="V23" s="541"/>
    </row>
    <row r="24" spans="3:23" ht="12.75">
      <c r="C24" s="17" t="s">
        <v>996</v>
      </c>
      <c r="D24" s="17" t="s">
        <v>546</v>
      </c>
      <c r="E24" s="17" t="s">
        <v>285</v>
      </c>
      <c r="F24" s="17" t="str">
        <f>"0,5946"</f>
        <v>0,5946</v>
      </c>
      <c r="G24" s="17" t="s">
        <v>161</v>
      </c>
      <c r="H24" s="17" t="s">
        <v>162</v>
      </c>
      <c r="I24" s="138" t="s">
        <v>319</v>
      </c>
      <c r="J24" s="46" t="s">
        <v>845</v>
      </c>
      <c r="K24" s="46" t="s">
        <v>931</v>
      </c>
      <c r="L24" s="36"/>
      <c r="M24" s="46" t="s">
        <v>183</v>
      </c>
      <c r="N24" s="46" t="s">
        <v>183</v>
      </c>
      <c r="O24" s="46" t="s">
        <v>183</v>
      </c>
      <c r="P24" s="36"/>
      <c r="Q24" s="36"/>
      <c r="R24" s="36"/>
      <c r="S24" s="36"/>
      <c r="T24" s="36"/>
      <c r="U24" s="37">
        <v>0</v>
      </c>
      <c r="V24" s="35" t="s">
        <v>1639</v>
      </c>
      <c r="W24" s="17" t="s">
        <v>1667</v>
      </c>
    </row>
    <row r="25" spans="1:23" ht="12.75">
      <c r="A25" s="29">
        <v>1</v>
      </c>
      <c r="B25" s="410">
        <v>12</v>
      </c>
      <c r="C25" s="19" t="s">
        <v>4556</v>
      </c>
      <c r="D25" s="19" t="s">
        <v>997</v>
      </c>
      <c r="E25" s="19" t="s">
        <v>998</v>
      </c>
      <c r="F25" s="19" t="str">
        <f>"0,5945"</f>
        <v>0,5945</v>
      </c>
      <c r="G25" s="19" t="s">
        <v>130</v>
      </c>
      <c r="H25" s="19" t="s">
        <v>999</v>
      </c>
      <c r="I25" s="139" t="s">
        <v>190</v>
      </c>
      <c r="J25" s="139" t="s">
        <v>192</v>
      </c>
      <c r="K25" s="139" t="s">
        <v>238</v>
      </c>
      <c r="L25" s="42"/>
      <c r="M25" s="139" t="s">
        <v>153</v>
      </c>
      <c r="N25" s="139" t="s">
        <v>126</v>
      </c>
      <c r="O25" s="139" t="s">
        <v>127</v>
      </c>
      <c r="P25" s="42"/>
      <c r="Q25" s="139" t="s">
        <v>191</v>
      </c>
      <c r="R25" s="139" t="s">
        <v>237</v>
      </c>
      <c r="S25" s="139" t="s">
        <v>238</v>
      </c>
      <c r="T25" s="42"/>
      <c r="U25" s="43">
        <v>640</v>
      </c>
      <c r="V25" s="41" t="str">
        <f>"444,4006"</f>
        <v>444,4006</v>
      </c>
      <c r="W25" s="19" t="s">
        <v>1884</v>
      </c>
    </row>
    <row r="27" spans="3:22" ht="15.75">
      <c r="C27" s="541" t="s">
        <v>304</v>
      </c>
      <c r="D27" s="541"/>
      <c r="E27" s="541"/>
      <c r="F27" s="541"/>
      <c r="G27" s="541"/>
      <c r="H27" s="541"/>
      <c r="I27" s="541"/>
      <c r="J27" s="541"/>
      <c r="K27" s="541"/>
      <c r="L27" s="541"/>
      <c r="M27" s="541"/>
      <c r="N27" s="541"/>
      <c r="O27" s="541"/>
      <c r="P27" s="541"/>
      <c r="Q27" s="541"/>
      <c r="R27" s="541"/>
      <c r="S27" s="541"/>
      <c r="T27" s="541"/>
      <c r="U27" s="541"/>
      <c r="V27" s="541"/>
    </row>
    <row r="28" spans="1:23" ht="12.75">
      <c r="A28" s="29">
        <v>1</v>
      </c>
      <c r="C28" s="20" t="s">
        <v>4413</v>
      </c>
      <c r="D28" s="20" t="s">
        <v>235</v>
      </c>
      <c r="E28" s="20" t="s">
        <v>1001</v>
      </c>
      <c r="F28" s="20" t="str">
        <f>"0,5726"</f>
        <v>0,5726</v>
      </c>
      <c r="G28" s="20" t="s">
        <v>31</v>
      </c>
      <c r="H28" s="20" t="s">
        <v>201</v>
      </c>
      <c r="I28" s="134" t="s">
        <v>860</v>
      </c>
      <c r="J28" s="45" t="s">
        <v>869</v>
      </c>
      <c r="K28" s="45" t="s">
        <v>869</v>
      </c>
      <c r="L28" s="31"/>
      <c r="M28" s="45" t="s">
        <v>190</v>
      </c>
      <c r="N28" s="45" t="s">
        <v>190</v>
      </c>
      <c r="O28" s="134" t="s">
        <v>190</v>
      </c>
      <c r="P28" s="31"/>
      <c r="Q28" s="134" t="s">
        <v>317</v>
      </c>
      <c r="R28" s="134" t="s">
        <v>319</v>
      </c>
      <c r="S28" s="134" t="s">
        <v>992</v>
      </c>
      <c r="T28" s="134" t="s">
        <v>341</v>
      </c>
      <c r="U28" s="34">
        <v>765</v>
      </c>
      <c r="V28" s="33" t="s">
        <v>4554</v>
      </c>
      <c r="W28" s="20" t="s">
        <v>2034</v>
      </c>
    </row>
    <row r="30" spans="3:4" ht="18">
      <c r="C30" s="16" t="s">
        <v>370</v>
      </c>
      <c r="D30" s="16"/>
    </row>
    <row r="31" spans="3:4" ht="15.75">
      <c r="C31" s="22" t="s">
        <v>371</v>
      </c>
      <c r="D31" s="22"/>
    </row>
    <row r="32" spans="3:4" ht="13.5">
      <c r="C32" s="24"/>
      <c r="D32" s="25" t="s">
        <v>2102</v>
      </c>
    </row>
    <row r="33" spans="3:7" ht="13.5">
      <c r="C33" s="26" t="s">
        <v>373</v>
      </c>
      <c r="D33" s="181" t="s">
        <v>374</v>
      </c>
      <c r="E33" s="181" t="s">
        <v>375</v>
      </c>
      <c r="F33" s="181" t="s">
        <v>376</v>
      </c>
      <c r="G33" s="181" t="s">
        <v>377</v>
      </c>
    </row>
    <row r="34" spans="1:7" ht="12.75">
      <c r="A34" s="29">
        <v>1</v>
      </c>
      <c r="C34" s="90" t="s">
        <v>983</v>
      </c>
      <c r="D34" s="49" t="s">
        <v>372</v>
      </c>
      <c r="E34" s="49" t="s">
        <v>385</v>
      </c>
      <c r="F34" s="49" t="s">
        <v>915</v>
      </c>
      <c r="G34" s="50" t="s">
        <v>2267</v>
      </c>
    </row>
    <row r="35" spans="1:7" ht="12.75">
      <c r="A35" s="29">
        <v>2</v>
      </c>
      <c r="C35" s="90" t="s">
        <v>980</v>
      </c>
      <c r="D35" s="49" t="s">
        <v>372</v>
      </c>
      <c r="E35" s="49" t="s">
        <v>394</v>
      </c>
      <c r="F35" s="49" t="s">
        <v>836</v>
      </c>
      <c r="G35" s="50" t="s">
        <v>2268</v>
      </c>
    </row>
    <row r="36" spans="1:7" ht="12.75">
      <c r="A36" s="29">
        <v>3</v>
      </c>
      <c r="C36" s="90" t="s">
        <v>985</v>
      </c>
      <c r="D36" s="49" t="s">
        <v>372</v>
      </c>
      <c r="E36" s="49" t="s">
        <v>2261</v>
      </c>
      <c r="F36" s="49" t="s">
        <v>992</v>
      </c>
      <c r="G36" s="50" t="s">
        <v>2266</v>
      </c>
    </row>
    <row r="37" spans="4:7" ht="12.75">
      <c r="D37" s="49"/>
      <c r="E37" s="49"/>
      <c r="F37" s="49"/>
      <c r="G37" s="49"/>
    </row>
    <row r="38" spans="3:7" ht="15.75">
      <c r="C38" s="22" t="s">
        <v>387</v>
      </c>
      <c r="D38" s="78"/>
      <c r="E38" s="49"/>
      <c r="F38" s="49"/>
      <c r="G38" s="49"/>
    </row>
    <row r="39" spans="3:7" ht="13.5">
      <c r="C39" s="24"/>
      <c r="D39" s="118" t="s">
        <v>2102</v>
      </c>
      <c r="E39" s="49"/>
      <c r="F39" s="49"/>
      <c r="G39" s="49"/>
    </row>
    <row r="40" spans="3:7" ht="13.5">
      <c r="C40" s="26" t="s">
        <v>373</v>
      </c>
      <c r="D40" s="181" t="s">
        <v>374</v>
      </c>
      <c r="E40" s="181" t="s">
        <v>375</v>
      </c>
      <c r="F40" s="181" t="s">
        <v>376</v>
      </c>
      <c r="G40" s="181" t="s">
        <v>377</v>
      </c>
    </row>
    <row r="41" spans="1:7" ht="12.75">
      <c r="A41" s="29">
        <v>1</v>
      </c>
      <c r="C41" s="90" t="s">
        <v>155</v>
      </c>
      <c r="D41" s="49" t="s">
        <v>372</v>
      </c>
      <c r="E41" s="49" t="s">
        <v>378</v>
      </c>
      <c r="F41" s="49" t="s">
        <v>941</v>
      </c>
      <c r="G41" s="50" t="s">
        <v>942</v>
      </c>
    </row>
    <row r="42" spans="1:7" ht="12.75">
      <c r="A42" s="29">
        <v>2</v>
      </c>
      <c r="C42" s="90" t="s">
        <v>1000</v>
      </c>
      <c r="D42" s="49" t="s">
        <v>372</v>
      </c>
      <c r="E42" s="49" t="s">
        <v>389</v>
      </c>
      <c r="F42" s="49" t="s">
        <v>4555</v>
      </c>
      <c r="G42" s="50" t="s">
        <v>4554</v>
      </c>
    </row>
    <row r="43" spans="1:7" ht="12.75">
      <c r="A43" s="29">
        <v>3</v>
      </c>
      <c r="C43" s="90" t="s">
        <v>993</v>
      </c>
      <c r="D43" s="49" t="s">
        <v>372</v>
      </c>
      <c r="E43" s="49" t="s">
        <v>397</v>
      </c>
      <c r="F43" s="49" t="s">
        <v>947</v>
      </c>
      <c r="G43" s="50" t="s">
        <v>2269</v>
      </c>
    </row>
  </sheetData>
  <sheetProtection/>
  <mergeCells count="23">
    <mergeCell ref="C27:V27"/>
    <mergeCell ref="U3:U4"/>
    <mergeCell ref="V3:V4"/>
    <mergeCell ref="H3:H4"/>
    <mergeCell ref="I3:L3"/>
    <mergeCell ref="M3:P3"/>
    <mergeCell ref="G3:G4"/>
    <mergeCell ref="Q3:T3"/>
    <mergeCell ref="C14:V14"/>
    <mergeCell ref="C17:V17"/>
    <mergeCell ref="C23:V23"/>
    <mergeCell ref="A3:A4"/>
    <mergeCell ref="W3:W4"/>
    <mergeCell ref="C5:V5"/>
    <mergeCell ref="C8:V8"/>
    <mergeCell ref="C11:V11"/>
    <mergeCell ref="B3:B4"/>
    <mergeCell ref="C1:W2"/>
    <mergeCell ref="C3:C4"/>
    <mergeCell ref="D3:D4"/>
    <mergeCell ref="E3:E4"/>
    <mergeCell ref="F3:F4"/>
    <mergeCell ref="C20:V20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selection activeCell="C26" sqref="C26:H26"/>
    </sheetView>
  </sheetViews>
  <sheetFormatPr defaultColWidth="8.75390625" defaultRowHeight="12.75"/>
  <cols>
    <col min="1" max="1" width="9.125" style="29" customWidth="1"/>
    <col min="2" max="2" width="10.75390625" style="410" customWidth="1"/>
    <col min="3" max="3" width="23.25390625" style="15" customWidth="1"/>
    <col min="4" max="4" width="27.125" style="15" bestFit="1" customWidth="1"/>
    <col min="5" max="5" width="10.625" style="15" bestFit="1" customWidth="1"/>
    <col min="6" max="6" width="8.375" style="15" bestFit="1" customWidth="1"/>
    <col min="7" max="7" width="12.00390625" style="15" customWidth="1"/>
    <col min="8" max="8" width="36.625" style="15" customWidth="1"/>
    <col min="9" max="11" width="5.625" style="15" bestFit="1" customWidth="1"/>
    <col min="12" max="12" width="4.625" style="15" bestFit="1" customWidth="1"/>
    <col min="13" max="19" width="5.625" style="15" bestFit="1" customWidth="1"/>
    <col min="20" max="20" width="4.625" style="15" bestFit="1" customWidth="1"/>
    <col min="21" max="21" width="7.875" style="30" bestFit="1" customWidth="1"/>
    <col min="22" max="22" width="8.625" style="15" bestFit="1" customWidth="1"/>
    <col min="23" max="23" width="22.875" style="15" customWidth="1"/>
  </cols>
  <sheetData>
    <row r="1" spans="1:23" s="1" customFormat="1" ht="15" customHeight="1">
      <c r="A1" s="28"/>
      <c r="B1" s="443"/>
      <c r="C1" s="552" t="s">
        <v>2166</v>
      </c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</row>
    <row r="2" spans="1:23" s="1" customFormat="1" ht="106.5" customHeight="1" thickBot="1">
      <c r="A2" s="28"/>
      <c r="B2" s="44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</row>
    <row r="3" spans="1:23" s="2" customFormat="1" ht="12.75" customHeight="1">
      <c r="A3" s="546" t="s">
        <v>1627</v>
      </c>
      <c r="B3" s="516" t="s">
        <v>4516</v>
      </c>
      <c r="C3" s="542" t="s">
        <v>0</v>
      </c>
      <c r="D3" s="548" t="s">
        <v>1628</v>
      </c>
      <c r="E3" s="548" t="s">
        <v>1629</v>
      </c>
      <c r="F3" s="542" t="s">
        <v>9</v>
      </c>
      <c r="G3" s="542" t="s">
        <v>7</v>
      </c>
      <c r="H3" s="514" t="s">
        <v>3275</v>
      </c>
      <c r="I3" s="542" t="s">
        <v>1</v>
      </c>
      <c r="J3" s="542"/>
      <c r="K3" s="542"/>
      <c r="L3" s="542"/>
      <c r="M3" s="542" t="s">
        <v>2</v>
      </c>
      <c r="N3" s="542"/>
      <c r="O3" s="542"/>
      <c r="P3" s="542"/>
      <c r="Q3" s="542" t="s">
        <v>3</v>
      </c>
      <c r="R3" s="542"/>
      <c r="S3" s="542"/>
      <c r="T3" s="542"/>
      <c r="U3" s="550" t="s">
        <v>4</v>
      </c>
      <c r="V3" s="542" t="s">
        <v>6</v>
      </c>
      <c r="W3" s="544" t="s">
        <v>5</v>
      </c>
    </row>
    <row r="4" spans="1:23" s="2" customFormat="1" ht="21" customHeight="1" thickBot="1">
      <c r="A4" s="547"/>
      <c r="B4" s="517"/>
      <c r="C4" s="543"/>
      <c r="D4" s="543"/>
      <c r="E4" s="549"/>
      <c r="F4" s="543"/>
      <c r="G4" s="543"/>
      <c r="H4" s="515"/>
      <c r="I4" s="3">
        <v>1</v>
      </c>
      <c r="J4" s="3">
        <v>2</v>
      </c>
      <c r="K4" s="3">
        <v>3</v>
      </c>
      <c r="L4" s="3" t="s">
        <v>8</v>
      </c>
      <c r="M4" s="3">
        <v>1</v>
      </c>
      <c r="N4" s="3">
        <v>2</v>
      </c>
      <c r="O4" s="3">
        <v>3</v>
      </c>
      <c r="P4" s="3" t="s">
        <v>8</v>
      </c>
      <c r="Q4" s="3">
        <v>1</v>
      </c>
      <c r="R4" s="3">
        <v>2</v>
      </c>
      <c r="S4" s="3">
        <v>3</v>
      </c>
      <c r="T4" s="3" t="s">
        <v>8</v>
      </c>
      <c r="U4" s="551"/>
      <c r="V4" s="543"/>
      <c r="W4" s="545"/>
    </row>
    <row r="5" spans="3:22" ht="15.75">
      <c r="C5" s="526" t="s">
        <v>59</v>
      </c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</row>
    <row r="6" spans="1:23" ht="12.75">
      <c r="A6" s="29">
        <v>1</v>
      </c>
      <c r="C6" s="20" t="s">
        <v>4557</v>
      </c>
      <c r="D6" s="20" t="s">
        <v>812</v>
      </c>
      <c r="E6" s="20" t="s">
        <v>813</v>
      </c>
      <c r="F6" s="20" t="str">
        <f>"0,8866"</f>
        <v>0,8866</v>
      </c>
      <c r="G6" s="20" t="s">
        <v>31</v>
      </c>
      <c r="H6" s="20" t="s">
        <v>1642</v>
      </c>
      <c r="I6" s="134" t="s">
        <v>303</v>
      </c>
      <c r="J6" s="31"/>
      <c r="K6" s="31"/>
      <c r="L6" s="31"/>
      <c r="M6" s="134" t="s">
        <v>132</v>
      </c>
      <c r="N6" s="45" t="s">
        <v>63</v>
      </c>
      <c r="O6" s="134" t="s">
        <v>63</v>
      </c>
      <c r="P6" s="45" t="s">
        <v>64</v>
      </c>
      <c r="Q6" s="134" t="s">
        <v>108</v>
      </c>
      <c r="R6" s="134" t="s">
        <v>121</v>
      </c>
      <c r="S6" s="45" t="s">
        <v>191</v>
      </c>
      <c r="T6" s="31"/>
      <c r="U6" s="34">
        <v>460</v>
      </c>
      <c r="V6" s="33" t="str">
        <f>"407,8360"</f>
        <v>407,8360</v>
      </c>
      <c r="W6" s="20" t="s">
        <v>2039</v>
      </c>
    </row>
    <row r="8" spans="3:22" ht="15.75">
      <c r="C8" s="541" t="s">
        <v>116</v>
      </c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</row>
    <row r="9" spans="1:23" ht="12.75">
      <c r="A9" s="29">
        <v>1</v>
      </c>
      <c r="C9" s="17" t="s">
        <v>4558</v>
      </c>
      <c r="D9" s="17" t="s">
        <v>333</v>
      </c>
      <c r="E9" s="17" t="s">
        <v>588</v>
      </c>
      <c r="F9" s="17" t="str">
        <f>"0,6759"</f>
        <v>0,6759</v>
      </c>
      <c r="G9" s="17" t="s">
        <v>31</v>
      </c>
      <c r="H9" s="17" t="s">
        <v>880</v>
      </c>
      <c r="I9" s="138" t="s">
        <v>860</v>
      </c>
      <c r="J9" s="138" t="s">
        <v>834</v>
      </c>
      <c r="K9" s="46" t="s">
        <v>836</v>
      </c>
      <c r="L9" s="36"/>
      <c r="M9" s="138" t="s">
        <v>121</v>
      </c>
      <c r="N9" s="138" t="s">
        <v>192</v>
      </c>
      <c r="O9" s="138" t="s">
        <v>237</v>
      </c>
      <c r="P9" s="36"/>
      <c r="Q9" s="138" t="s">
        <v>845</v>
      </c>
      <c r="R9" s="138" t="s">
        <v>846</v>
      </c>
      <c r="S9" s="46" t="s">
        <v>847</v>
      </c>
      <c r="T9" s="36"/>
      <c r="U9" s="44">
        <v>800</v>
      </c>
      <c r="V9" s="35" t="str">
        <f>"540,7200"</f>
        <v>540,7200</v>
      </c>
      <c r="W9" s="17" t="s">
        <v>1674</v>
      </c>
    </row>
    <row r="10" spans="1:23" ht="12.75">
      <c r="A10" s="29">
        <v>2</v>
      </c>
      <c r="B10" s="410">
        <v>21</v>
      </c>
      <c r="C10" s="18" t="s">
        <v>4559</v>
      </c>
      <c r="D10" s="18" t="s">
        <v>881</v>
      </c>
      <c r="E10" s="18" t="s">
        <v>597</v>
      </c>
      <c r="F10" s="18" t="str">
        <f>"0,6860"</f>
        <v>0,6860</v>
      </c>
      <c r="G10" s="18" t="s">
        <v>882</v>
      </c>
      <c r="H10" s="18" t="s">
        <v>347</v>
      </c>
      <c r="I10" s="140" t="s">
        <v>341</v>
      </c>
      <c r="J10" s="140" t="s">
        <v>847</v>
      </c>
      <c r="K10" s="140" t="s">
        <v>860</v>
      </c>
      <c r="L10" s="39"/>
      <c r="M10" s="140" t="s">
        <v>175</v>
      </c>
      <c r="N10" s="47" t="s">
        <v>120</v>
      </c>
      <c r="O10" s="47" t="s">
        <v>120</v>
      </c>
      <c r="P10" s="39"/>
      <c r="Q10" s="140" t="s">
        <v>883</v>
      </c>
      <c r="R10" s="140" t="s">
        <v>884</v>
      </c>
      <c r="S10" s="140" t="s">
        <v>845</v>
      </c>
      <c r="T10" s="39"/>
      <c r="U10" s="40">
        <v>745</v>
      </c>
      <c r="V10" s="38" t="str">
        <f>"511,0700"</f>
        <v>511,0700</v>
      </c>
      <c r="W10" s="18" t="s">
        <v>1842</v>
      </c>
    </row>
    <row r="11" spans="1:23" ht="12.75">
      <c r="A11" s="29">
        <v>1</v>
      </c>
      <c r="C11" s="18" t="s">
        <v>4560</v>
      </c>
      <c r="D11" s="18" t="s">
        <v>886</v>
      </c>
      <c r="E11" s="18" t="s">
        <v>124</v>
      </c>
      <c r="F11" s="18" t="str">
        <f>"0,6785"</f>
        <v>0,6785</v>
      </c>
      <c r="G11" s="18" t="s">
        <v>31</v>
      </c>
      <c r="H11" s="18" t="s">
        <v>887</v>
      </c>
      <c r="I11" s="140" t="s">
        <v>888</v>
      </c>
      <c r="J11" s="39"/>
      <c r="K11" s="39"/>
      <c r="L11" s="39"/>
      <c r="M11" s="140" t="s">
        <v>889</v>
      </c>
      <c r="N11" s="47" t="s">
        <v>635</v>
      </c>
      <c r="O11" s="47" t="s">
        <v>635</v>
      </c>
      <c r="P11" s="39"/>
      <c r="Q11" s="140" t="s">
        <v>317</v>
      </c>
      <c r="R11" s="47" t="s">
        <v>890</v>
      </c>
      <c r="S11" s="39"/>
      <c r="T11" s="39"/>
      <c r="U11" s="40">
        <v>695.5</v>
      </c>
      <c r="V11" s="38" t="str">
        <f>"474,2562"</f>
        <v>474,2562</v>
      </c>
      <c r="W11" s="18" t="s">
        <v>51</v>
      </c>
    </row>
    <row r="12" spans="3:23" ht="12.75">
      <c r="C12" s="19" t="s">
        <v>891</v>
      </c>
      <c r="D12" s="19" t="s">
        <v>892</v>
      </c>
      <c r="E12" s="19" t="s">
        <v>118</v>
      </c>
      <c r="F12" s="19" t="str">
        <f>"0,6724"</f>
        <v>0,6724</v>
      </c>
      <c r="G12" s="19" t="s">
        <v>46</v>
      </c>
      <c r="H12" s="19" t="s">
        <v>893</v>
      </c>
      <c r="I12" s="48" t="s">
        <v>317</v>
      </c>
      <c r="J12" s="48" t="s">
        <v>317</v>
      </c>
      <c r="K12" s="48" t="s">
        <v>317</v>
      </c>
      <c r="L12" s="42"/>
      <c r="M12" s="42"/>
      <c r="N12" s="42"/>
      <c r="O12" s="42"/>
      <c r="P12" s="42"/>
      <c r="Q12" s="42"/>
      <c r="R12" s="42"/>
      <c r="S12" s="42"/>
      <c r="T12" s="42"/>
      <c r="U12" s="51">
        <v>0</v>
      </c>
      <c r="V12" s="41" t="s">
        <v>1639</v>
      </c>
      <c r="W12" s="19" t="s">
        <v>1674</v>
      </c>
    </row>
    <row r="14" spans="3:22" ht="15.75">
      <c r="C14" s="541" t="s">
        <v>59</v>
      </c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1"/>
      <c r="S14" s="541"/>
      <c r="T14" s="541"/>
      <c r="U14" s="541"/>
      <c r="V14" s="541"/>
    </row>
    <row r="15" spans="1:23" ht="12.75">
      <c r="A15" s="29">
        <v>1</v>
      </c>
      <c r="C15" s="17" t="s">
        <v>3884</v>
      </c>
      <c r="D15" s="17" t="s">
        <v>156</v>
      </c>
      <c r="E15" s="17" t="s">
        <v>157</v>
      </c>
      <c r="F15" s="17" t="str">
        <f>"0,6410"</f>
        <v>0,6410</v>
      </c>
      <c r="G15" s="17" t="s">
        <v>31</v>
      </c>
      <c r="H15" s="17" t="s">
        <v>1675</v>
      </c>
      <c r="I15" s="138" t="s">
        <v>239</v>
      </c>
      <c r="J15" s="36"/>
      <c r="K15" s="36"/>
      <c r="L15" s="36"/>
      <c r="M15" s="138" t="s">
        <v>190</v>
      </c>
      <c r="N15" s="36"/>
      <c r="O15" s="36"/>
      <c r="P15" s="36"/>
      <c r="Q15" s="138" t="s">
        <v>341</v>
      </c>
      <c r="R15" s="36"/>
      <c r="S15" s="36"/>
      <c r="T15" s="36"/>
      <c r="U15" s="44">
        <v>705</v>
      </c>
      <c r="V15" s="35" t="str">
        <f>"451,9050"</f>
        <v>451,9050</v>
      </c>
      <c r="W15" s="17" t="s">
        <v>158</v>
      </c>
    </row>
    <row r="16" spans="1:23" ht="12.75">
      <c r="A16" s="29">
        <v>2</v>
      </c>
      <c r="B16" s="410">
        <v>21</v>
      </c>
      <c r="C16" s="19" t="s">
        <v>4253</v>
      </c>
      <c r="D16" s="19" t="s">
        <v>819</v>
      </c>
      <c r="E16" s="19" t="s">
        <v>894</v>
      </c>
      <c r="F16" s="19" t="str">
        <f>"0,6597"</f>
        <v>0,6597</v>
      </c>
      <c r="G16" s="19" t="s">
        <v>22</v>
      </c>
      <c r="H16" s="19" t="s">
        <v>23</v>
      </c>
      <c r="I16" s="139" t="s">
        <v>312</v>
      </c>
      <c r="J16" s="139" t="s">
        <v>317</v>
      </c>
      <c r="K16" s="48" t="s">
        <v>368</v>
      </c>
      <c r="L16" s="42"/>
      <c r="M16" s="139" t="s">
        <v>202</v>
      </c>
      <c r="N16" s="139" t="s">
        <v>252</v>
      </c>
      <c r="O16" s="139" t="s">
        <v>245</v>
      </c>
      <c r="P16" s="42"/>
      <c r="Q16" s="139" t="s">
        <v>237</v>
      </c>
      <c r="R16" s="139" t="s">
        <v>830</v>
      </c>
      <c r="S16" s="42"/>
      <c r="T16" s="42"/>
      <c r="U16" s="43">
        <v>702.5</v>
      </c>
      <c r="V16" s="41" t="str">
        <f>"463,4392"</f>
        <v>463,4392</v>
      </c>
      <c r="W16" s="19" t="s">
        <v>821</v>
      </c>
    </row>
    <row r="18" spans="3:22" ht="15.75">
      <c r="C18" s="541" t="s">
        <v>164</v>
      </c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</row>
    <row r="19" spans="1:23" ht="12.75">
      <c r="A19" s="29">
        <v>1</v>
      </c>
      <c r="B19" s="410">
        <v>12</v>
      </c>
      <c r="C19" s="17" t="s">
        <v>4562</v>
      </c>
      <c r="D19" s="17" t="s">
        <v>895</v>
      </c>
      <c r="E19" s="17" t="s">
        <v>896</v>
      </c>
      <c r="F19" s="17" t="str">
        <f>"0,6139"</f>
        <v>0,6139</v>
      </c>
      <c r="G19" s="17" t="s">
        <v>161</v>
      </c>
      <c r="H19" s="17" t="s">
        <v>162</v>
      </c>
      <c r="I19" s="138" t="s">
        <v>245</v>
      </c>
      <c r="J19" s="46" t="s">
        <v>897</v>
      </c>
      <c r="K19" s="46" t="s">
        <v>830</v>
      </c>
      <c r="L19" s="36"/>
      <c r="M19" s="138" t="s">
        <v>268</v>
      </c>
      <c r="N19" s="138" t="s">
        <v>350</v>
      </c>
      <c r="O19" s="138" t="s">
        <v>635</v>
      </c>
      <c r="P19" s="36"/>
      <c r="Q19" s="138" t="s">
        <v>202</v>
      </c>
      <c r="R19" s="46" t="s">
        <v>245</v>
      </c>
      <c r="S19" s="46" t="s">
        <v>312</v>
      </c>
      <c r="T19" s="36"/>
      <c r="U19" s="44">
        <v>620</v>
      </c>
      <c r="V19" s="35" t="str">
        <f>"380,6180"</f>
        <v>380,6180</v>
      </c>
      <c r="W19" s="17" t="s">
        <v>1667</v>
      </c>
    </row>
    <row r="20" spans="1:23" ht="12.75">
      <c r="A20" s="29">
        <v>1</v>
      </c>
      <c r="C20" s="19" t="s">
        <v>4561</v>
      </c>
      <c r="D20" s="19" t="s">
        <v>898</v>
      </c>
      <c r="E20" s="19" t="s">
        <v>200</v>
      </c>
      <c r="F20" s="19" t="str">
        <f>"0,6136"</f>
        <v>0,6136</v>
      </c>
      <c r="G20" s="19" t="s">
        <v>31</v>
      </c>
      <c r="H20" s="19" t="s">
        <v>880</v>
      </c>
      <c r="I20" s="48" t="s">
        <v>920</v>
      </c>
      <c r="J20" s="139" t="s">
        <v>899</v>
      </c>
      <c r="K20" s="48" t="s">
        <v>900</v>
      </c>
      <c r="L20" s="42"/>
      <c r="M20" s="48" t="s">
        <v>237</v>
      </c>
      <c r="N20" s="139" t="s">
        <v>237</v>
      </c>
      <c r="O20" s="48" t="s">
        <v>238</v>
      </c>
      <c r="P20" s="42"/>
      <c r="Q20" s="139" t="s">
        <v>901</v>
      </c>
      <c r="R20" s="139" t="s">
        <v>860</v>
      </c>
      <c r="S20" s="139" t="s">
        <v>902</v>
      </c>
      <c r="T20" s="42"/>
      <c r="U20" s="43">
        <v>877.5</v>
      </c>
      <c r="V20" s="41" t="str">
        <f>"538,4340"</f>
        <v>538,4340</v>
      </c>
      <c r="W20" s="19" t="s">
        <v>51</v>
      </c>
    </row>
    <row r="22" spans="3:22" ht="15.75">
      <c r="C22" s="541" t="s">
        <v>227</v>
      </c>
      <c r="D22" s="541"/>
      <c r="E22" s="541"/>
      <c r="F22" s="541"/>
      <c r="G22" s="541"/>
      <c r="H22" s="541"/>
      <c r="I22" s="541"/>
      <c r="J22" s="541"/>
      <c r="K22" s="541"/>
      <c r="L22" s="541"/>
      <c r="M22" s="541"/>
      <c r="N22" s="541"/>
      <c r="O22" s="541"/>
      <c r="P22" s="541"/>
      <c r="Q22" s="541"/>
      <c r="R22" s="541"/>
      <c r="S22" s="541"/>
      <c r="T22" s="541"/>
      <c r="U22" s="541"/>
      <c r="V22" s="541"/>
    </row>
    <row r="23" spans="1:23" ht="12.75">
      <c r="A23" s="29">
        <v>1</v>
      </c>
      <c r="C23" s="17" t="s">
        <v>4563</v>
      </c>
      <c r="D23" s="17" t="s">
        <v>904</v>
      </c>
      <c r="E23" s="17" t="s">
        <v>278</v>
      </c>
      <c r="F23" s="17" t="str">
        <f>"0,6055"</f>
        <v>0,6055</v>
      </c>
      <c r="G23" s="17" t="s">
        <v>31</v>
      </c>
      <c r="H23" s="17" t="s">
        <v>905</v>
      </c>
      <c r="I23" s="138" t="s">
        <v>2103</v>
      </c>
      <c r="J23" s="138" t="s">
        <v>801</v>
      </c>
      <c r="K23" s="36"/>
      <c r="L23" s="36"/>
      <c r="M23" s="138" t="s">
        <v>901</v>
      </c>
      <c r="N23" s="46" t="s">
        <v>860</v>
      </c>
      <c r="O23" s="46" t="s">
        <v>860</v>
      </c>
      <c r="P23" s="36"/>
      <c r="Q23" s="138" t="s">
        <v>906</v>
      </c>
      <c r="R23" s="138" t="s">
        <v>907</v>
      </c>
      <c r="S23" s="46" t="s">
        <v>908</v>
      </c>
      <c r="T23" s="36"/>
      <c r="U23" s="44">
        <v>1115.5</v>
      </c>
      <c r="V23" s="35" t="str">
        <f>"675,4352"</f>
        <v>675,4352</v>
      </c>
      <c r="W23" s="17" t="s">
        <v>51</v>
      </c>
    </row>
    <row r="24" spans="1:23" ht="12.75">
      <c r="A24" s="29">
        <v>2</v>
      </c>
      <c r="C24" s="18" t="s">
        <v>4564</v>
      </c>
      <c r="D24" s="18" t="s">
        <v>910</v>
      </c>
      <c r="E24" s="18" t="s">
        <v>718</v>
      </c>
      <c r="F24" s="18" t="str">
        <f>"0,5897"</f>
        <v>0,5897</v>
      </c>
      <c r="G24" s="18" t="s">
        <v>31</v>
      </c>
      <c r="H24" s="18" t="s">
        <v>2249</v>
      </c>
      <c r="I24" s="140" t="s">
        <v>900</v>
      </c>
      <c r="J24" s="47" t="s">
        <v>911</v>
      </c>
      <c r="K24" s="47" t="s">
        <v>912</v>
      </c>
      <c r="L24" s="39"/>
      <c r="M24" s="47" t="s">
        <v>341</v>
      </c>
      <c r="N24" s="140" t="s">
        <v>913</v>
      </c>
      <c r="O24" s="47" t="s">
        <v>901</v>
      </c>
      <c r="P24" s="39"/>
      <c r="Q24" s="140" t="s">
        <v>914</v>
      </c>
      <c r="R24" s="140" t="s">
        <v>915</v>
      </c>
      <c r="S24" s="140" t="s">
        <v>916</v>
      </c>
      <c r="T24" s="39"/>
      <c r="U24" s="40">
        <v>997.5</v>
      </c>
      <c r="V24" s="38" t="str">
        <f>"588,2257"</f>
        <v>588,2257</v>
      </c>
      <c r="W24" s="18" t="s">
        <v>1674</v>
      </c>
    </row>
    <row r="25" spans="1:23" ht="12.75">
      <c r="A25" s="29">
        <v>3</v>
      </c>
      <c r="B25" s="410">
        <v>26</v>
      </c>
      <c r="C25" s="18" t="s">
        <v>4565</v>
      </c>
      <c r="D25" s="18" t="s">
        <v>918</v>
      </c>
      <c r="E25" s="18" t="s">
        <v>919</v>
      </c>
      <c r="F25" s="18" t="str">
        <f>"0,5902"</f>
        <v>0,5902</v>
      </c>
      <c r="G25" s="18" t="s">
        <v>130</v>
      </c>
      <c r="H25" s="18" t="s">
        <v>2245</v>
      </c>
      <c r="I25" s="47" t="s">
        <v>860</v>
      </c>
      <c r="J25" s="140" t="s">
        <v>834</v>
      </c>
      <c r="K25" s="140" t="s">
        <v>835</v>
      </c>
      <c r="L25" s="39"/>
      <c r="M25" s="140" t="s">
        <v>238</v>
      </c>
      <c r="N25" s="140" t="s">
        <v>239</v>
      </c>
      <c r="O25" s="140" t="s">
        <v>317</v>
      </c>
      <c r="P25" s="39"/>
      <c r="Q25" s="140" t="s">
        <v>914</v>
      </c>
      <c r="R25" s="47" t="s">
        <v>920</v>
      </c>
      <c r="S25" s="140" t="s">
        <v>915</v>
      </c>
      <c r="T25" s="39"/>
      <c r="U25" s="40">
        <v>900</v>
      </c>
      <c r="V25" s="38" t="str">
        <f>"531,1800"</f>
        <v>531,1800</v>
      </c>
      <c r="W25" s="18" t="s">
        <v>51</v>
      </c>
    </row>
    <row r="26" spans="3:23" ht="12.75">
      <c r="C26" s="18" t="s">
        <v>921</v>
      </c>
      <c r="D26" s="18" t="s">
        <v>922</v>
      </c>
      <c r="E26" s="18" t="s">
        <v>293</v>
      </c>
      <c r="F26" s="18" t="str">
        <f>"0,5903"</f>
        <v>0,5903</v>
      </c>
      <c r="G26" s="18" t="s">
        <v>31</v>
      </c>
      <c r="H26" s="18" t="s">
        <v>1641</v>
      </c>
      <c r="I26" s="140" t="s">
        <v>899</v>
      </c>
      <c r="J26" s="140" t="s">
        <v>923</v>
      </c>
      <c r="K26" s="47" t="s">
        <v>911</v>
      </c>
      <c r="L26" s="39"/>
      <c r="M26" s="140" t="s">
        <v>845</v>
      </c>
      <c r="N26" s="140" t="s">
        <v>888</v>
      </c>
      <c r="O26" s="47" t="s">
        <v>913</v>
      </c>
      <c r="P26" s="39"/>
      <c r="Q26" s="47" t="s">
        <v>924</v>
      </c>
      <c r="R26" s="47" t="s">
        <v>924</v>
      </c>
      <c r="S26" s="47" t="s">
        <v>924</v>
      </c>
      <c r="T26" s="39"/>
      <c r="U26" s="52">
        <v>0</v>
      </c>
      <c r="V26" s="38" t="s">
        <v>1639</v>
      </c>
      <c r="W26" s="18" t="s">
        <v>2040</v>
      </c>
    </row>
    <row r="27" spans="1:23" ht="12.75">
      <c r="A27" s="29">
        <v>1</v>
      </c>
      <c r="B27" s="410">
        <v>12</v>
      </c>
      <c r="C27" s="18" t="s">
        <v>4566</v>
      </c>
      <c r="D27" s="18" t="s">
        <v>926</v>
      </c>
      <c r="E27" s="18" t="s">
        <v>716</v>
      </c>
      <c r="F27" s="18" t="str">
        <f>"0,5978"</f>
        <v>0,5978</v>
      </c>
      <c r="G27" s="18" t="s">
        <v>688</v>
      </c>
      <c r="H27" s="18" t="s">
        <v>603</v>
      </c>
      <c r="I27" s="47" t="s">
        <v>884</v>
      </c>
      <c r="J27" s="140" t="s">
        <v>884</v>
      </c>
      <c r="K27" s="140" t="s">
        <v>341</v>
      </c>
      <c r="L27" s="39"/>
      <c r="M27" s="47" t="s">
        <v>64</v>
      </c>
      <c r="N27" s="140" t="s">
        <v>126</v>
      </c>
      <c r="O27" s="47" t="s">
        <v>127</v>
      </c>
      <c r="P27" s="39"/>
      <c r="Q27" s="140" t="s">
        <v>884</v>
      </c>
      <c r="R27" s="47" t="s">
        <v>341</v>
      </c>
      <c r="S27" s="47" t="s">
        <v>341</v>
      </c>
      <c r="T27" s="39"/>
      <c r="U27" s="40">
        <v>700</v>
      </c>
      <c r="V27" s="38" t="str">
        <f>"418,4600"</f>
        <v>418,4600</v>
      </c>
      <c r="W27" s="18" t="s">
        <v>1831</v>
      </c>
    </row>
    <row r="28" spans="1:23" ht="12.75">
      <c r="A28" s="29">
        <v>1</v>
      </c>
      <c r="C28" s="19" t="s">
        <v>4567</v>
      </c>
      <c r="D28" s="19" t="s">
        <v>928</v>
      </c>
      <c r="E28" s="19" t="s">
        <v>929</v>
      </c>
      <c r="F28" s="19" t="str">
        <f>"0,6006"</f>
        <v>0,6006</v>
      </c>
      <c r="G28" s="19" t="s">
        <v>31</v>
      </c>
      <c r="H28" s="19" t="s">
        <v>930</v>
      </c>
      <c r="I28" s="139" t="s">
        <v>317</v>
      </c>
      <c r="J28" s="139" t="s">
        <v>319</v>
      </c>
      <c r="K28" s="139" t="s">
        <v>931</v>
      </c>
      <c r="L28" s="42"/>
      <c r="M28" s="139" t="s">
        <v>64</v>
      </c>
      <c r="N28" s="139" t="s">
        <v>153</v>
      </c>
      <c r="O28" s="42"/>
      <c r="P28" s="42"/>
      <c r="Q28" s="139" t="s">
        <v>317</v>
      </c>
      <c r="R28" s="139" t="s">
        <v>884</v>
      </c>
      <c r="S28" s="42"/>
      <c r="T28" s="42"/>
      <c r="U28" s="43">
        <v>687.5</v>
      </c>
      <c r="V28" s="41" t="str">
        <f>"459,9845"</f>
        <v>459,9845</v>
      </c>
      <c r="W28" s="19" t="s">
        <v>51</v>
      </c>
    </row>
    <row r="30" spans="3:22" ht="15.75">
      <c r="C30" s="541" t="s">
        <v>304</v>
      </c>
      <c r="D30" s="541"/>
      <c r="E30" s="541"/>
      <c r="F30" s="541"/>
      <c r="G30" s="541"/>
      <c r="H30" s="541"/>
      <c r="I30" s="541"/>
      <c r="J30" s="541"/>
      <c r="K30" s="541"/>
      <c r="L30" s="541"/>
      <c r="M30" s="541"/>
      <c r="N30" s="541"/>
      <c r="O30" s="541"/>
      <c r="P30" s="541"/>
      <c r="Q30" s="541"/>
      <c r="R30" s="541"/>
      <c r="S30" s="541"/>
      <c r="T30" s="541"/>
      <c r="U30" s="541"/>
      <c r="V30" s="541"/>
    </row>
    <row r="31" spans="1:23" ht="12.75">
      <c r="A31" s="29">
        <v>1</v>
      </c>
      <c r="C31" s="20" t="s">
        <v>4568</v>
      </c>
      <c r="D31" s="20" t="s">
        <v>933</v>
      </c>
      <c r="E31" s="20" t="s">
        <v>934</v>
      </c>
      <c r="F31" s="20" t="str">
        <f>"0,5785"</f>
        <v>0,5785</v>
      </c>
      <c r="G31" s="20" t="s">
        <v>31</v>
      </c>
      <c r="H31" s="20" t="s">
        <v>465</v>
      </c>
      <c r="I31" s="45" t="s">
        <v>900</v>
      </c>
      <c r="J31" s="134" t="s">
        <v>900</v>
      </c>
      <c r="K31" s="45" t="s">
        <v>911</v>
      </c>
      <c r="L31" s="31"/>
      <c r="M31" s="134" t="s">
        <v>238</v>
      </c>
      <c r="N31" s="45" t="s">
        <v>317</v>
      </c>
      <c r="O31" s="134" t="s">
        <v>317</v>
      </c>
      <c r="P31" s="31"/>
      <c r="Q31" s="134" t="s">
        <v>899</v>
      </c>
      <c r="R31" s="134" t="s">
        <v>923</v>
      </c>
      <c r="S31" s="45" t="s">
        <v>912</v>
      </c>
      <c r="T31" s="31"/>
      <c r="U31" s="34">
        <v>965</v>
      </c>
      <c r="V31" s="33" t="str">
        <f>"558,2525"</f>
        <v>558,2525</v>
      </c>
      <c r="W31" s="20" t="s">
        <v>2250</v>
      </c>
    </row>
    <row r="33" spans="3:4" ht="18">
      <c r="C33" s="16" t="s">
        <v>370</v>
      </c>
      <c r="D33" s="16"/>
    </row>
    <row r="34" spans="3:4" ht="15.75">
      <c r="C34" s="22" t="s">
        <v>387</v>
      </c>
      <c r="D34" s="22"/>
    </row>
    <row r="35" spans="3:4" ht="13.5">
      <c r="C35" s="24"/>
      <c r="D35" s="25" t="s">
        <v>2102</v>
      </c>
    </row>
    <row r="36" spans="3:7" ht="13.5">
      <c r="C36" s="26" t="s">
        <v>373</v>
      </c>
      <c r="D36" s="26" t="s">
        <v>374</v>
      </c>
      <c r="E36" s="26" t="s">
        <v>375</v>
      </c>
      <c r="F36" s="26" t="s">
        <v>376</v>
      </c>
      <c r="G36" s="26" t="s">
        <v>377</v>
      </c>
    </row>
    <row r="37" spans="1:7" ht="12.75">
      <c r="A37" s="29">
        <v>1</v>
      </c>
      <c r="C37" s="90" t="s">
        <v>903</v>
      </c>
      <c r="D37" s="49" t="s">
        <v>372</v>
      </c>
      <c r="E37" s="49" t="s">
        <v>392</v>
      </c>
      <c r="F37" s="49" t="s">
        <v>935</v>
      </c>
      <c r="G37" s="50" t="s">
        <v>936</v>
      </c>
    </row>
    <row r="38" spans="1:7" ht="12.75">
      <c r="A38" s="29">
        <v>2</v>
      </c>
      <c r="C38" s="90" t="s">
        <v>909</v>
      </c>
      <c r="D38" s="49" t="s">
        <v>372</v>
      </c>
      <c r="E38" s="49" t="s">
        <v>392</v>
      </c>
      <c r="F38" s="49" t="s">
        <v>937</v>
      </c>
      <c r="G38" s="50" t="s">
        <v>938</v>
      </c>
    </row>
    <row r="39" spans="1:7" ht="12.75">
      <c r="A39" s="29">
        <v>3</v>
      </c>
      <c r="C39" s="90" t="s">
        <v>932</v>
      </c>
      <c r="D39" s="49" t="s">
        <v>372</v>
      </c>
      <c r="E39" s="49" t="s">
        <v>389</v>
      </c>
      <c r="F39" s="49" t="s">
        <v>939</v>
      </c>
      <c r="G39" s="50" t="s">
        <v>940</v>
      </c>
    </row>
    <row r="40" spans="3:4" ht="13.5">
      <c r="C40" s="24"/>
      <c r="D40" s="25" t="s">
        <v>2102</v>
      </c>
    </row>
    <row r="41" spans="3:7" ht="13.5">
      <c r="C41" s="26" t="s">
        <v>373</v>
      </c>
      <c r="D41" s="26" t="s">
        <v>374</v>
      </c>
      <c r="E41" s="26" t="s">
        <v>375</v>
      </c>
      <c r="F41" s="26" t="s">
        <v>376</v>
      </c>
      <c r="G41" s="26" t="s">
        <v>377</v>
      </c>
    </row>
    <row r="42" spans="1:7" ht="12.75">
      <c r="A42" s="29">
        <v>1</v>
      </c>
      <c r="C42" s="90" t="s">
        <v>885</v>
      </c>
      <c r="D42" s="49" t="s">
        <v>386</v>
      </c>
      <c r="E42" s="49" t="s">
        <v>404</v>
      </c>
      <c r="F42" s="49" t="s">
        <v>943</v>
      </c>
      <c r="G42" s="50" t="s">
        <v>944</v>
      </c>
    </row>
    <row r="43" spans="1:7" ht="12.75">
      <c r="A43" s="29">
        <v>2</v>
      </c>
      <c r="C43" s="90" t="s">
        <v>927</v>
      </c>
      <c r="D43" s="49" t="s">
        <v>384</v>
      </c>
      <c r="E43" s="49" t="s">
        <v>392</v>
      </c>
      <c r="F43" s="49" t="s">
        <v>945</v>
      </c>
      <c r="G43" s="50" t="s">
        <v>946</v>
      </c>
    </row>
    <row r="44" spans="1:7" ht="12.75">
      <c r="A44" s="29">
        <v>3</v>
      </c>
      <c r="C44" s="90" t="s">
        <v>925</v>
      </c>
      <c r="D44" s="49" t="s">
        <v>386</v>
      </c>
      <c r="E44" s="49" t="s">
        <v>392</v>
      </c>
      <c r="F44" s="49" t="s">
        <v>947</v>
      </c>
      <c r="G44" s="50" t="s">
        <v>948</v>
      </c>
    </row>
  </sheetData>
  <sheetProtection/>
  <mergeCells count="21">
    <mergeCell ref="W3:W4"/>
    <mergeCell ref="Q3:T3"/>
    <mergeCell ref="H3:H4"/>
    <mergeCell ref="I3:L3"/>
    <mergeCell ref="C22:V22"/>
    <mergeCell ref="C1:W2"/>
    <mergeCell ref="C3:C4"/>
    <mergeCell ref="D3:D4"/>
    <mergeCell ref="E3:E4"/>
    <mergeCell ref="F3:F4"/>
    <mergeCell ref="C30:V30"/>
    <mergeCell ref="U3:U4"/>
    <mergeCell ref="V3:V4"/>
    <mergeCell ref="C18:V18"/>
    <mergeCell ref="C8:V8"/>
    <mergeCell ref="M3:P3"/>
    <mergeCell ref="B3:B4"/>
    <mergeCell ref="G3:G4"/>
    <mergeCell ref="C14:V14"/>
    <mergeCell ref="A3:A4"/>
    <mergeCell ref="C5:V5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W74"/>
  <sheetViews>
    <sheetView workbookViewId="0" topLeftCell="A27">
      <selection activeCell="C20" sqref="C20:C21"/>
    </sheetView>
  </sheetViews>
  <sheetFormatPr defaultColWidth="8.75390625" defaultRowHeight="12.75"/>
  <cols>
    <col min="1" max="1" width="9.125" style="29" customWidth="1"/>
    <col min="2" max="2" width="13.75390625" style="410" customWidth="1"/>
    <col min="3" max="3" width="22.875" style="15" customWidth="1"/>
    <col min="4" max="4" width="27.125" style="15" bestFit="1" customWidth="1"/>
    <col min="5" max="5" width="10.625" style="15" bestFit="1" customWidth="1"/>
    <col min="6" max="6" width="8.375" style="15" bestFit="1" customWidth="1"/>
    <col min="7" max="7" width="14.00390625" style="15" customWidth="1"/>
    <col min="8" max="8" width="36.75390625" style="15" customWidth="1"/>
    <col min="9" max="9" width="5.875" style="15" customWidth="1"/>
    <col min="10" max="11" width="5.625" style="15" bestFit="1" customWidth="1"/>
    <col min="12" max="12" width="4.625" style="15" bestFit="1" customWidth="1"/>
    <col min="13" max="15" width="5.625" style="15" bestFit="1" customWidth="1"/>
    <col min="16" max="16" width="4.625" style="15" bestFit="1" customWidth="1"/>
    <col min="17" max="20" width="5.625" style="15" bestFit="1" customWidth="1"/>
    <col min="21" max="21" width="7.875" style="30" bestFit="1" customWidth="1"/>
    <col min="22" max="22" width="8.625" style="15" bestFit="1" customWidth="1"/>
    <col min="23" max="23" width="15.875" style="15" customWidth="1"/>
  </cols>
  <sheetData>
    <row r="1" spans="1:23" s="1" customFormat="1" ht="15" customHeight="1">
      <c r="A1" s="28"/>
      <c r="B1" s="443"/>
      <c r="C1" s="552" t="s">
        <v>2167</v>
      </c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</row>
    <row r="2" spans="1:23" s="1" customFormat="1" ht="103.5" customHeight="1" thickBot="1">
      <c r="A2" s="28"/>
      <c r="B2" s="44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</row>
    <row r="3" spans="1:23" s="2" customFormat="1" ht="12.75" customHeight="1">
      <c r="A3" s="546" t="s">
        <v>1627</v>
      </c>
      <c r="B3" s="516" t="s">
        <v>4516</v>
      </c>
      <c r="C3" s="542" t="s">
        <v>0</v>
      </c>
      <c r="D3" s="548" t="s">
        <v>1628</v>
      </c>
      <c r="E3" s="548" t="s">
        <v>1629</v>
      </c>
      <c r="F3" s="542" t="s">
        <v>9</v>
      </c>
      <c r="G3" s="542" t="s">
        <v>7</v>
      </c>
      <c r="H3" s="514" t="s">
        <v>3275</v>
      </c>
      <c r="I3" s="542" t="s">
        <v>1</v>
      </c>
      <c r="J3" s="542"/>
      <c r="K3" s="542"/>
      <c r="L3" s="542"/>
      <c r="M3" s="542" t="s">
        <v>2</v>
      </c>
      <c r="N3" s="542"/>
      <c r="O3" s="542"/>
      <c r="P3" s="542"/>
      <c r="Q3" s="542" t="s">
        <v>3</v>
      </c>
      <c r="R3" s="542"/>
      <c r="S3" s="542"/>
      <c r="T3" s="542"/>
      <c r="U3" s="550" t="s">
        <v>4</v>
      </c>
      <c r="V3" s="542" t="s">
        <v>6</v>
      </c>
      <c r="W3" s="544" t="s">
        <v>5</v>
      </c>
    </row>
    <row r="4" spans="1:23" s="2" customFormat="1" ht="21" customHeight="1" thickBot="1">
      <c r="A4" s="547"/>
      <c r="B4" s="517"/>
      <c r="C4" s="543"/>
      <c r="D4" s="543"/>
      <c r="E4" s="549"/>
      <c r="F4" s="543"/>
      <c r="G4" s="543"/>
      <c r="H4" s="515"/>
      <c r="I4" s="3">
        <v>1</v>
      </c>
      <c r="J4" s="3">
        <v>2</v>
      </c>
      <c r="K4" s="3">
        <v>3</v>
      </c>
      <c r="L4" s="3" t="s">
        <v>8</v>
      </c>
      <c r="M4" s="3">
        <v>1</v>
      </c>
      <c r="N4" s="3">
        <v>2</v>
      </c>
      <c r="O4" s="3">
        <v>3</v>
      </c>
      <c r="P4" s="3" t="s">
        <v>8</v>
      </c>
      <c r="Q4" s="3">
        <v>1</v>
      </c>
      <c r="R4" s="3">
        <v>2</v>
      </c>
      <c r="S4" s="3">
        <v>3</v>
      </c>
      <c r="T4" s="3" t="s">
        <v>8</v>
      </c>
      <c r="U4" s="551"/>
      <c r="V4" s="543"/>
      <c r="W4" s="545"/>
    </row>
    <row r="5" spans="3:22" ht="15.75">
      <c r="C5" s="526" t="s">
        <v>66</v>
      </c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</row>
    <row r="6" spans="3:23" ht="12.75">
      <c r="C6" s="17" t="s">
        <v>1199</v>
      </c>
      <c r="D6" s="17" t="s">
        <v>1200</v>
      </c>
      <c r="E6" s="17" t="s">
        <v>1705</v>
      </c>
      <c r="F6" s="17" t="str">
        <f>"1,2597"</f>
        <v>1,2597</v>
      </c>
      <c r="G6" s="17" t="s">
        <v>2104</v>
      </c>
      <c r="H6" s="17" t="s">
        <v>1642</v>
      </c>
      <c r="I6" s="46" t="s">
        <v>474</v>
      </c>
      <c r="J6" s="46" t="s">
        <v>474</v>
      </c>
      <c r="K6" s="46" t="s">
        <v>49</v>
      </c>
      <c r="L6" s="36"/>
      <c r="M6" s="36"/>
      <c r="N6" s="36"/>
      <c r="O6" s="36"/>
      <c r="P6" s="36"/>
      <c r="Q6" s="36"/>
      <c r="R6" s="36"/>
      <c r="S6" s="36"/>
      <c r="T6" s="36"/>
      <c r="U6" s="37">
        <v>0</v>
      </c>
      <c r="V6" s="35" t="s">
        <v>1639</v>
      </c>
      <c r="W6" s="17" t="s">
        <v>1904</v>
      </c>
    </row>
    <row r="7" spans="3:23" ht="12.75">
      <c r="C7" s="19" t="s">
        <v>425</v>
      </c>
      <c r="D7" s="19" t="s">
        <v>426</v>
      </c>
      <c r="E7" s="19" t="s">
        <v>1630</v>
      </c>
      <c r="F7" s="19" t="str">
        <f>"1,2466"</f>
        <v>1,2466</v>
      </c>
      <c r="G7" s="19" t="s">
        <v>31</v>
      </c>
      <c r="H7" s="19" t="s">
        <v>1641</v>
      </c>
      <c r="I7" s="48" t="s">
        <v>471</v>
      </c>
      <c r="J7" s="48" t="s">
        <v>471</v>
      </c>
      <c r="K7" s="48" t="s">
        <v>471</v>
      </c>
      <c r="L7" s="42"/>
      <c r="M7" s="42"/>
      <c r="N7" s="42"/>
      <c r="O7" s="42"/>
      <c r="P7" s="42"/>
      <c r="Q7" s="41" t="s">
        <v>2102</v>
      </c>
      <c r="R7" s="48"/>
      <c r="S7" s="48"/>
      <c r="T7" s="42"/>
      <c r="U7" s="51">
        <v>0</v>
      </c>
      <c r="V7" s="41" t="s">
        <v>1639</v>
      </c>
      <c r="W7" s="19" t="s">
        <v>51</v>
      </c>
    </row>
    <row r="9" spans="3:22" ht="15.75">
      <c r="C9" s="541" t="s">
        <v>10</v>
      </c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</row>
    <row r="10" spans="1:23" ht="12.75">
      <c r="A10" s="29">
        <v>1</v>
      </c>
      <c r="B10" s="410">
        <v>12</v>
      </c>
      <c r="C10" s="17" t="s">
        <v>4436</v>
      </c>
      <c r="D10" s="17" t="s">
        <v>1289</v>
      </c>
      <c r="E10" s="17" t="s">
        <v>1888</v>
      </c>
      <c r="F10" s="17" t="str">
        <f>"1,1766"</f>
        <v>1,1766</v>
      </c>
      <c r="G10" s="17" t="s">
        <v>161</v>
      </c>
      <c r="H10" s="17" t="s">
        <v>1903</v>
      </c>
      <c r="I10" s="138" t="s">
        <v>544</v>
      </c>
      <c r="J10" s="46" t="s">
        <v>528</v>
      </c>
      <c r="K10" s="46" t="s">
        <v>528</v>
      </c>
      <c r="L10" s="36"/>
      <c r="M10" s="138" t="s">
        <v>70</v>
      </c>
      <c r="N10" s="138" t="s">
        <v>421</v>
      </c>
      <c r="O10" s="46" t="s">
        <v>432</v>
      </c>
      <c r="P10" s="36"/>
      <c r="Q10" s="138" t="s">
        <v>33</v>
      </c>
      <c r="R10" s="138" t="s">
        <v>452</v>
      </c>
      <c r="S10" s="46" t="s">
        <v>447</v>
      </c>
      <c r="T10" s="36"/>
      <c r="U10" s="44">
        <v>262.5</v>
      </c>
      <c r="V10" s="35" t="str">
        <f>"308,8575"</f>
        <v>308,8575</v>
      </c>
      <c r="W10" s="17" t="s">
        <v>1905</v>
      </c>
    </row>
    <row r="11" spans="1:23" ht="12.75">
      <c r="A11" s="29">
        <v>1</v>
      </c>
      <c r="B11" s="410">
        <v>24</v>
      </c>
      <c r="C11" s="18" t="s">
        <v>4437</v>
      </c>
      <c r="D11" s="18" t="s">
        <v>1291</v>
      </c>
      <c r="E11" s="18" t="s">
        <v>1889</v>
      </c>
      <c r="F11" s="18" t="str">
        <f>"1,1916"</f>
        <v>1,1916</v>
      </c>
      <c r="G11" s="18" t="s">
        <v>2104</v>
      </c>
      <c r="H11" s="18" t="s">
        <v>1903</v>
      </c>
      <c r="I11" s="140" t="s">
        <v>49</v>
      </c>
      <c r="J11" s="140" t="s">
        <v>303</v>
      </c>
      <c r="K11" s="47" t="s">
        <v>24</v>
      </c>
      <c r="L11" s="39"/>
      <c r="M11" s="47" t="s">
        <v>421</v>
      </c>
      <c r="N11" s="47" t="s">
        <v>432</v>
      </c>
      <c r="O11" s="140" t="s">
        <v>432</v>
      </c>
      <c r="P11" s="39"/>
      <c r="Q11" s="140" t="s">
        <v>89</v>
      </c>
      <c r="R11" s="140" t="s">
        <v>551</v>
      </c>
      <c r="S11" s="140" t="s">
        <v>480</v>
      </c>
      <c r="T11" s="39"/>
      <c r="U11" s="40">
        <v>290</v>
      </c>
      <c r="V11" s="38" t="str">
        <f>"345,5640"</f>
        <v>345,5640</v>
      </c>
      <c r="W11" s="18" t="s">
        <v>1906</v>
      </c>
    </row>
    <row r="12" spans="3:23" ht="12.75">
      <c r="C12" s="19" t="s">
        <v>1292</v>
      </c>
      <c r="D12" s="19" t="s">
        <v>1293</v>
      </c>
      <c r="E12" s="19" t="s">
        <v>1760</v>
      </c>
      <c r="F12" s="19" t="str">
        <f>"1,1866"</f>
        <v>1,1866</v>
      </c>
      <c r="G12" s="19" t="s">
        <v>31</v>
      </c>
      <c r="H12" s="19" t="s">
        <v>1903</v>
      </c>
      <c r="I12" s="48" t="s">
        <v>24</v>
      </c>
      <c r="J12" s="139" t="s">
        <v>24</v>
      </c>
      <c r="K12" s="139" t="s">
        <v>544</v>
      </c>
      <c r="L12" s="42"/>
      <c r="M12" s="48" t="s">
        <v>419</v>
      </c>
      <c r="N12" s="48" t="s">
        <v>419</v>
      </c>
      <c r="O12" s="48" t="s">
        <v>419</v>
      </c>
      <c r="P12" s="42"/>
      <c r="Q12" s="73" t="s">
        <v>2102</v>
      </c>
      <c r="R12" s="73" t="s">
        <v>2102</v>
      </c>
      <c r="S12" s="73" t="s">
        <v>2102</v>
      </c>
      <c r="T12" s="42"/>
      <c r="U12" s="51">
        <v>0</v>
      </c>
      <c r="V12" s="41" t="s">
        <v>1639</v>
      </c>
      <c r="W12" s="19" t="s">
        <v>1640</v>
      </c>
    </row>
    <row r="14" spans="3:22" ht="15.75">
      <c r="C14" s="541" t="s">
        <v>80</v>
      </c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1"/>
      <c r="S14" s="541"/>
      <c r="T14" s="541"/>
      <c r="U14" s="541"/>
      <c r="V14" s="541"/>
    </row>
    <row r="15" spans="1:23" ht="12.75">
      <c r="A15" s="29">
        <v>1</v>
      </c>
      <c r="B15" s="410">
        <v>12</v>
      </c>
      <c r="C15" s="17" t="s">
        <v>4438</v>
      </c>
      <c r="D15" s="17" t="s">
        <v>1295</v>
      </c>
      <c r="E15" s="17" t="s">
        <v>1649</v>
      </c>
      <c r="F15" s="17" t="str">
        <f>"1,1221"</f>
        <v>1,1221</v>
      </c>
      <c r="G15" s="17" t="s">
        <v>2104</v>
      </c>
      <c r="H15" s="17" t="s">
        <v>1903</v>
      </c>
      <c r="I15" s="46" t="s">
        <v>49</v>
      </c>
      <c r="J15" s="46" t="s">
        <v>49</v>
      </c>
      <c r="K15" s="138" t="s">
        <v>49</v>
      </c>
      <c r="L15" s="36"/>
      <c r="M15" s="138" t="s">
        <v>457</v>
      </c>
      <c r="N15" s="138" t="s">
        <v>424</v>
      </c>
      <c r="O15" s="36"/>
      <c r="P15" s="36"/>
      <c r="Q15" s="138" t="s">
        <v>88</v>
      </c>
      <c r="R15" s="138" t="s">
        <v>89</v>
      </c>
      <c r="S15" s="138" t="s">
        <v>598</v>
      </c>
      <c r="T15" s="36"/>
      <c r="U15" s="44">
        <v>290</v>
      </c>
      <c r="V15" s="35" t="str">
        <f>"325,4090"</f>
        <v>325,4090</v>
      </c>
      <c r="W15" s="17" t="s">
        <v>1904</v>
      </c>
    </row>
    <row r="16" spans="1:23" ht="12.75">
      <c r="A16" s="29">
        <v>2</v>
      </c>
      <c r="B16" s="410">
        <v>9</v>
      </c>
      <c r="C16" s="18" t="s">
        <v>4439</v>
      </c>
      <c r="D16" s="18" t="s">
        <v>1296</v>
      </c>
      <c r="E16" s="18" t="s">
        <v>1890</v>
      </c>
      <c r="F16" s="18" t="str">
        <f>"1,1266"</f>
        <v>1,1266</v>
      </c>
      <c r="G16" s="18" t="s">
        <v>2104</v>
      </c>
      <c r="H16" s="18" t="s">
        <v>1297</v>
      </c>
      <c r="I16" s="47" t="s">
        <v>49</v>
      </c>
      <c r="J16" s="140" t="s">
        <v>49</v>
      </c>
      <c r="K16" s="47" t="s">
        <v>33</v>
      </c>
      <c r="L16" s="39"/>
      <c r="M16" s="140" t="s">
        <v>71</v>
      </c>
      <c r="N16" s="47" t="s">
        <v>432</v>
      </c>
      <c r="O16" s="140" t="s">
        <v>432</v>
      </c>
      <c r="P16" s="39"/>
      <c r="Q16" s="140" t="s">
        <v>88</v>
      </c>
      <c r="R16" s="140" t="s">
        <v>89</v>
      </c>
      <c r="S16" s="47" t="s">
        <v>136</v>
      </c>
      <c r="T16" s="39"/>
      <c r="U16" s="40">
        <v>270</v>
      </c>
      <c r="V16" s="38" t="str">
        <f>"304,1820"</f>
        <v>304,1820</v>
      </c>
      <c r="W16" s="18" t="s">
        <v>1907</v>
      </c>
    </row>
    <row r="17" spans="1:23" ht="12.75">
      <c r="A17" s="29">
        <v>3</v>
      </c>
      <c r="C17" s="19" t="s">
        <v>4440</v>
      </c>
      <c r="D17" s="19" t="s">
        <v>1298</v>
      </c>
      <c r="E17" s="19" t="s">
        <v>1891</v>
      </c>
      <c r="F17" s="19" t="str">
        <f>"1,1432"</f>
        <v>1,1432</v>
      </c>
      <c r="G17" s="19" t="s">
        <v>31</v>
      </c>
      <c r="H17" s="19" t="s">
        <v>1903</v>
      </c>
      <c r="I17" s="48" t="s">
        <v>49</v>
      </c>
      <c r="J17" s="48" t="s">
        <v>49</v>
      </c>
      <c r="K17" s="139" t="s">
        <v>49</v>
      </c>
      <c r="L17" s="42"/>
      <c r="M17" s="139" t="s">
        <v>70</v>
      </c>
      <c r="N17" s="48" t="s">
        <v>71</v>
      </c>
      <c r="O17" s="48" t="s">
        <v>71</v>
      </c>
      <c r="P17" s="42"/>
      <c r="Q17" s="139" t="s">
        <v>474</v>
      </c>
      <c r="R17" s="48" t="s">
        <v>495</v>
      </c>
      <c r="S17" s="139" t="s">
        <v>495</v>
      </c>
      <c r="T17" s="42"/>
      <c r="U17" s="43">
        <v>225</v>
      </c>
      <c r="V17" s="41" t="s">
        <v>2219</v>
      </c>
      <c r="W17" s="19" t="s">
        <v>1809</v>
      </c>
    </row>
    <row r="19" spans="3:22" ht="15.75">
      <c r="C19" s="541" t="s">
        <v>18</v>
      </c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541"/>
      <c r="P19" s="541"/>
      <c r="Q19" s="541"/>
      <c r="R19" s="541"/>
      <c r="S19" s="541"/>
      <c r="T19" s="541"/>
      <c r="U19" s="541"/>
      <c r="V19" s="541"/>
    </row>
    <row r="20" spans="1:23" ht="12.75">
      <c r="A20" s="29">
        <v>1</v>
      </c>
      <c r="C20" s="17" t="s">
        <v>4441</v>
      </c>
      <c r="D20" s="88" t="s">
        <v>1299</v>
      </c>
      <c r="E20" s="17" t="s">
        <v>1892</v>
      </c>
      <c r="F20" s="17" t="str">
        <f>"1,0283"</f>
        <v>1,0283</v>
      </c>
      <c r="G20" s="17" t="s">
        <v>31</v>
      </c>
      <c r="H20" s="83" t="s">
        <v>603</v>
      </c>
      <c r="I20" s="142" t="s">
        <v>49</v>
      </c>
      <c r="J20" s="138" t="s">
        <v>452</v>
      </c>
      <c r="K20" s="85" t="s">
        <v>544</v>
      </c>
      <c r="L20" s="36"/>
      <c r="M20" s="147" t="s">
        <v>432</v>
      </c>
      <c r="N20" s="138" t="s">
        <v>93</v>
      </c>
      <c r="O20" s="85" t="s">
        <v>94</v>
      </c>
      <c r="P20" s="36"/>
      <c r="Q20" s="147" t="s">
        <v>303</v>
      </c>
      <c r="R20" s="46" t="s">
        <v>25</v>
      </c>
      <c r="S20" s="147" t="s">
        <v>25</v>
      </c>
      <c r="T20" s="138" t="s">
        <v>544</v>
      </c>
      <c r="U20" s="167">
        <v>267.5</v>
      </c>
      <c r="V20" s="35" t="str">
        <f>"275,0703"</f>
        <v>275,0703</v>
      </c>
      <c r="W20" s="17" t="s">
        <v>51</v>
      </c>
    </row>
    <row r="21" spans="1:23" ht="12.75">
      <c r="A21" s="29">
        <v>1</v>
      </c>
      <c r="C21" s="19" t="s">
        <v>4441</v>
      </c>
      <c r="D21" s="95" t="s">
        <v>1300</v>
      </c>
      <c r="E21" s="19" t="s">
        <v>1892</v>
      </c>
      <c r="F21" s="19" t="str">
        <f>"1,0283"</f>
        <v>1,0283</v>
      </c>
      <c r="G21" s="19" t="s">
        <v>31</v>
      </c>
      <c r="H21" s="94" t="s">
        <v>603</v>
      </c>
      <c r="I21" s="144" t="s">
        <v>49</v>
      </c>
      <c r="J21" s="139" t="s">
        <v>452</v>
      </c>
      <c r="K21" s="153" t="s">
        <v>544</v>
      </c>
      <c r="L21" s="42"/>
      <c r="M21" s="148" t="s">
        <v>432</v>
      </c>
      <c r="N21" s="139" t="s">
        <v>93</v>
      </c>
      <c r="O21" s="153" t="s">
        <v>94</v>
      </c>
      <c r="P21" s="42"/>
      <c r="Q21" s="148" t="s">
        <v>303</v>
      </c>
      <c r="R21" s="48" t="s">
        <v>25</v>
      </c>
      <c r="S21" s="148" t="s">
        <v>25</v>
      </c>
      <c r="T21" s="139" t="s">
        <v>544</v>
      </c>
      <c r="U21" s="168">
        <v>267.5</v>
      </c>
      <c r="V21" s="41" t="str">
        <f>"282,7722"</f>
        <v>282,7722</v>
      </c>
      <c r="W21" s="19" t="s">
        <v>51</v>
      </c>
    </row>
    <row r="23" spans="3:22" ht="15.75">
      <c r="C23" s="541" t="s">
        <v>499</v>
      </c>
      <c r="D23" s="541"/>
      <c r="E23" s="541"/>
      <c r="F23" s="541"/>
      <c r="G23" s="541"/>
      <c r="H23" s="541"/>
      <c r="I23" s="541"/>
      <c r="J23" s="541"/>
      <c r="K23" s="541"/>
      <c r="L23" s="541"/>
      <c r="M23" s="541"/>
      <c r="N23" s="541"/>
      <c r="O23" s="541"/>
      <c r="P23" s="541"/>
      <c r="Q23" s="541"/>
      <c r="R23" s="541"/>
      <c r="S23" s="541"/>
      <c r="T23" s="541"/>
      <c r="U23" s="541"/>
      <c r="V23" s="541"/>
    </row>
    <row r="24" spans="1:23" ht="12.75">
      <c r="A24" s="29">
        <v>1</v>
      </c>
      <c r="B24" s="410">
        <v>24</v>
      </c>
      <c r="C24" s="20" t="s">
        <v>4442</v>
      </c>
      <c r="D24" s="20" t="s">
        <v>1302</v>
      </c>
      <c r="E24" s="20" t="s">
        <v>1631</v>
      </c>
      <c r="F24" s="20" t="str">
        <f>"0,8050"</f>
        <v>0,8050</v>
      </c>
      <c r="G24" s="20" t="s">
        <v>130</v>
      </c>
      <c r="H24" s="20" t="s">
        <v>1643</v>
      </c>
      <c r="I24" s="134" t="s">
        <v>127</v>
      </c>
      <c r="J24" s="134" t="s">
        <v>175</v>
      </c>
      <c r="K24" s="45" t="s">
        <v>108</v>
      </c>
      <c r="L24" s="31"/>
      <c r="M24" s="134" t="s">
        <v>48</v>
      </c>
      <c r="N24" s="134" t="s">
        <v>513</v>
      </c>
      <c r="O24" s="45" t="s">
        <v>474</v>
      </c>
      <c r="P24" s="31"/>
      <c r="Q24" s="134" t="s">
        <v>132</v>
      </c>
      <c r="R24" s="45" t="s">
        <v>76</v>
      </c>
      <c r="S24" s="45" t="s">
        <v>76</v>
      </c>
      <c r="T24" s="31"/>
      <c r="U24" s="34">
        <v>417.5</v>
      </c>
      <c r="V24" s="33" t="str">
        <f>"336,0875"</f>
        <v>336,0875</v>
      </c>
      <c r="W24" s="20" t="s">
        <v>51</v>
      </c>
    </row>
    <row r="26" spans="3:22" ht="15.75">
      <c r="C26" s="541" t="s">
        <v>10</v>
      </c>
      <c r="D26" s="541"/>
      <c r="E26" s="541"/>
      <c r="F26" s="541"/>
      <c r="G26" s="541"/>
      <c r="H26" s="541"/>
      <c r="I26" s="541"/>
      <c r="J26" s="541"/>
      <c r="K26" s="541"/>
      <c r="L26" s="541"/>
      <c r="M26" s="541"/>
      <c r="N26" s="541"/>
      <c r="O26" s="541"/>
      <c r="P26" s="541"/>
      <c r="Q26" s="541"/>
      <c r="R26" s="541"/>
      <c r="S26" s="541"/>
      <c r="T26" s="541"/>
      <c r="U26" s="541"/>
      <c r="V26" s="541"/>
    </row>
    <row r="27" spans="1:23" ht="12.75">
      <c r="A27" s="29">
        <v>1</v>
      </c>
      <c r="C27" s="20" t="s">
        <v>4443</v>
      </c>
      <c r="D27" s="20" t="s">
        <v>1303</v>
      </c>
      <c r="E27" s="20" t="s">
        <v>1893</v>
      </c>
      <c r="F27" s="20" t="str">
        <f>"0,9528"</f>
        <v>0,9528</v>
      </c>
      <c r="G27" s="20" t="s">
        <v>31</v>
      </c>
      <c r="H27" s="20" t="s">
        <v>1304</v>
      </c>
      <c r="I27" s="134" t="s">
        <v>49</v>
      </c>
      <c r="J27" s="134" t="s">
        <v>471</v>
      </c>
      <c r="K27" s="134" t="s">
        <v>446</v>
      </c>
      <c r="L27" s="31"/>
      <c r="M27" s="134" t="s">
        <v>432</v>
      </c>
      <c r="N27" s="134" t="s">
        <v>457</v>
      </c>
      <c r="O27" s="45" t="s">
        <v>94</v>
      </c>
      <c r="P27" s="31"/>
      <c r="Q27" s="134" t="s">
        <v>49</v>
      </c>
      <c r="R27" s="134" t="s">
        <v>471</v>
      </c>
      <c r="S27" s="45" t="s">
        <v>25</v>
      </c>
      <c r="T27" s="31"/>
      <c r="U27" s="34">
        <v>277.5</v>
      </c>
      <c r="V27" s="33" t="str">
        <f>"264,4020"</f>
        <v>264,4020</v>
      </c>
      <c r="W27" s="20" t="s">
        <v>1908</v>
      </c>
    </row>
    <row r="29" spans="3:22" ht="15.75">
      <c r="C29" s="541" t="s">
        <v>18</v>
      </c>
      <c r="D29" s="541"/>
      <c r="E29" s="541"/>
      <c r="F29" s="541"/>
      <c r="G29" s="541"/>
      <c r="H29" s="541"/>
      <c r="I29" s="541"/>
      <c r="J29" s="541"/>
      <c r="K29" s="541"/>
      <c r="L29" s="541"/>
      <c r="M29" s="541"/>
      <c r="N29" s="541"/>
      <c r="O29" s="541"/>
      <c r="P29" s="541"/>
      <c r="Q29" s="541"/>
      <c r="R29" s="541"/>
      <c r="S29" s="541"/>
      <c r="T29" s="541"/>
      <c r="U29" s="541"/>
      <c r="V29" s="541"/>
    </row>
    <row r="30" spans="1:23" ht="12.75">
      <c r="A30" s="29">
        <v>1</v>
      </c>
      <c r="C30" s="17" t="s">
        <v>4444</v>
      </c>
      <c r="D30" s="17" t="s">
        <v>1306</v>
      </c>
      <c r="E30" s="84" t="s">
        <v>1894</v>
      </c>
      <c r="F30" s="17" t="str">
        <f>"0,7823"</f>
        <v>0,7823</v>
      </c>
      <c r="G30" s="84" t="s">
        <v>31</v>
      </c>
      <c r="H30" s="17" t="s">
        <v>465</v>
      </c>
      <c r="I30" s="147" t="s">
        <v>190</v>
      </c>
      <c r="J30" s="46" t="s">
        <v>237</v>
      </c>
      <c r="K30" s="85" t="s">
        <v>237</v>
      </c>
      <c r="L30" s="36"/>
      <c r="M30" s="85" t="s">
        <v>89</v>
      </c>
      <c r="N30" s="46" t="s">
        <v>89</v>
      </c>
      <c r="O30" s="147" t="s">
        <v>89</v>
      </c>
      <c r="P30" s="36"/>
      <c r="Q30" s="85" t="s">
        <v>190</v>
      </c>
      <c r="R30" s="138" t="s">
        <v>190</v>
      </c>
      <c r="S30" s="85" t="s">
        <v>191</v>
      </c>
      <c r="T30" s="36"/>
      <c r="U30" s="151">
        <v>530</v>
      </c>
      <c r="V30" s="35" t="s">
        <v>2220</v>
      </c>
      <c r="W30" s="88" t="s">
        <v>1909</v>
      </c>
    </row>
    <row r="31" spans="1:23" ht="12.75">
      <c r="A31" s="29">
        <v>2</v>
      </c>
      <c r="C31" s="19" t="s">
        <v>4445</v>
      </c>
      <c r="D31" s="19" t="s">
        <v>1305</v>
      </c>
      <c r="E31" s="98" t="s">
        <v>1632</v>
      </c>
      <c r="F31" s="19" t="str">
        <f>"0,7852"</f>
        <v>0,7852</v>
      </c>
      <c r="G31" s="98" t="s">
        <v>31</v>
      </c>
      <c r="H31" s="19" t="s">
        <v>1903</v>
      </c>
      <c r="I31" s="153" t="s">
        <v>127</v>
      </c>
      <c r="J31" s="139" t="s">
        <v>127</v>
      </c>
      <c r="K31" s="153" t="s">
        <v>108</v>
      </c>
      <c r="L31" s="42"/>
      <c r="M31" s="148" t="s">
        <v>451</v>
      </c>
      <c r="N31" s="139" t="s">
        <v>303</v>
      </c>
      <c r="O31" s="153" t="s">
        <v>452</v>
      </c>
      <c r="P31" s="42"/>
      <c r="Q31" s="148" t="s">
        <v>121</v>
      </c>
      <c r="R31" s="48" t="s">
        <v>237</v>
      </c>
      <c r="S31" s="153" t="s">
        <v>237</v>
      </c>
      <c r="T31" s="42"/>
      <c r="U31" s="152">
        <v>485</v>
      </c>
      <c r="V31" s="41" t="str">
        <f>"380,8220"</f>
        <v>380,8220</v>
      </c>
      <c r="W31" s="95" t="s">
        <v>1644</v>
      </c>
    </row>
    <row r="33" spans="3:22" ht="15.75">
      <c r="C33" s="541" t="s">
        <v>42</v>
      </c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1"/>
      <c r="O33" s="541"/>
      <c r="P33" s="541"/>
      <c r="Q33" s="541"/>
      <c r="R33" s="541"/>
      <c r="S33" s="541"/>
      <c r="T33" s="541"/>
      <c r="U33" s="541"/>
      <c r="V33" s="541"/>
    </row>
    <row r="34" spans="1:23" ht="12.75">
      <c r="A34" s="29">
        <v>1</v>
      </c>
      <c r="B34" s="410">
        <v>12</v>
      </c>
      <c r="C34" s="17" t="s">
        <v>4446</v>
      </c>
      <c r="D34" s="17" t="s">
        <v>1309</v>
      </c>
      <c r="E34" s="84" t="s">
        <v>1713</v>
      </c>
      <c r="F34" s="17" t="str">
        <f>"0,7228"</f>
        <v>0,7228</v>
      </c>
      <c r="G34" s="84" t="s">
        <v>431</v>
      </c>
      <c r="H34" s="17" t="s">
        <v>1903</v>
      </c>
      <c r="I34" s="85" t="s">
        <v>480</v>
      </c>
      <c r="J34" s="46" t="s">
        <v>131</v>
      </c>
      <c r="K34" s="147" t="s">
        <v>297</v>
      </c>
      <c r="L34" s="36"/>
      <c r="M34" s="147" t="s">
        <v>25</v>
      </c>
      <c r="N34" s="46" t="s">
        <v>88</v>
      </c>
      <c r="O34" s="85" t="s">
        <v>88</v>
      </c>
      <c r="P34" s="36"/>
      <c r="Q34" s="147" t="s">
        <v>480</v>
      </c>
      <c r="R34" s="138" t="s">
        <v>132</v>
      </c>
      <c r="S34" s="147" t="s">
        <v>183</v>
      </c>
      <c r="T34" s="36"/>
      <c r="U34" s="106">
        <v>427.5</v>
      </c>
      <c r="V34" s="35" t="s">
        <v>2218</v>
      </c>
      <c r="W34" s="88" t="s">
        <v>1911</v>
      </c>
    </row>
    <row r="35" spans="1:23" ht="12.75">
      <c r="A35" s="29">
        <v>2</v>
      </c>
      <c r="B35" s="410">
        <v>9</v>
      </c>
      <c r="C35" s="19" t="s">
        <v>4447</v>
      </c>
      <c r="D35" s="19" t="s">
        <v>1307</v>
      </c>
      <c r="E35" s="98" t="s">
        <v>1895</v>
      </c>
      <c r="F35" s="19" t="str">
        <f>"0,7469"</f>
        <v>0,7469</v>
      </c>
      <c r="G35" s="98" t="s">
        <v>125</v>
      </c>
      <c r="H35" s="19" t="s">
        <v>1308</v>
      </c>
      <c r="I35" s="148" t="s">
        <v>25</v>
      </c>
      <c r="J35" s="139" t="s">
        <v>446</v>
      </c>
      <c r="K35" s="148" t="s">
        <v>447</v>
      </c>
      <c r="L35" s="42"/>
      <c r="M35" s="148" t="s">
        <v>416</v>
      </c>
      <c r="N35" s="48" t="s">
        <v>48</v>
      </c>
      <c r="O35" s="148" t="s">
        <v>513</v>
      </c>
      <c r="P35" s="42"/>
      <c r="Q35" s="148" t="s">
        <v>132</v>
      </c>
      <c r="R35" s="139" t="s">
        <v>64</v>
      </c>
      <c r="S35" s="148" t="s">
        <v>153</v>
      </c>
      <c r="T35" s="42"/>
      <c r="U35" s="152">
        <v>377.5</v>
      </c>
      <c r="V35" s="41" t="str">
        <f>"281,9548"</f>
        <v>281,9548</v>
      </c>
      <c r="W35" s="95" t="s">
        <v>1910</v>
      </c>
    </row>
    <row r="37" spans="3:22" ht="15.75">
      <c r="C37" s="541" t="s">
        <v>116</v>
      </c>
      <c r="D37" s="541"/>
      <c r="E37" s="541"/>
      <c r="F37" s="541"/>
      <c r="G37" s="541"/>
      <c r="H37" s="541"/>
      <c r="I37" s="541"/>
      <c r="J37" s="541"/>
      <c r="K37" s="541"/>
      <c r="L37" s="541"/>
      <c r="M37" s="541"/>
      <c r="N37" s="541"/>
      <c r="O37" s="541"/>
      <c r="P37" s="541"/>
      <c r="Q37" s="541"/>
      <c r="R37" s="541"/>
      <c r="S37" s="541"/>
      <c r="T37" s="541"/>
      <c r="U37" s="541"/>
      <c r="V37" s="541"/>
    </row>
    <row r="38" spans="1:23" ht="12.75">
      <c r="A38" s="29">
        <v>1</v>
      </c>
      <c r="C38" s="17" t="s">
        <v>4448</v>
      </c>
      <c r="D38" s="17" t="s">
        <v>1311</v>
      </c>
      <c r="E38" s="17" t="s">
        <v>1633</v>
      </c>
      <c r="F38" s="17" t="str">
        <f>"0,6927"</f>
        <v>0,6927</v>
      </c>
      <c r="G38" s="17" t="s">
        <v>31</v>
      </c>
      <c r="H38" s="17" t="s">
        <v>1312</v>
      </c>
      <c r="I38" s="138" t="s">
        <v>317</v>
      </c>
      <c r="J38" s="46" t="s">
        <v>319</v>
      </c>
      <c r="K38" s="46" t="s">
        <v>319</v>
      </c>
      <c r="L38" s="36"/>
      <c r="M38" s="46" t="s">
        <v>88</v>
      </c>
      <c r="N38" s="46" t="s">
        <v>88</v>
      </c>
      <c r="O38" s="138" t="s">
        <v>88</v>
      </c>
      <c r="P38" s="36"/>
      <c r="Q38" s="138" t="s">
        <v>253</v>
      </c>
      <c r="R38" s="36"/>
      <c r="S38" s="36"/>
      <c r="T38" s="36"/>
      <c r="U38" s="37">
        <v>582.5</v>
      </c>
      <c r="V38" s="35" t="s">
        <v>2221</v>
      </c>
      <c r="W38" s="17" t="s">
        <v>1313</v>
      </c>
    </row>
    <row r="39" spans="1:23" ht="12.75">
      <c r="A39" s="29">
        <v>1</v>
      </c>
      <c r="B39" s="410">
        <v>24</v>
      </c>
      <c r="C39" s="18" t="s">
        <v>4449</v>
      </c>
      <c r="D39" s="18" t="s">
        <v>956</v>
      </c>
      <c r="E39" s="18" t="s">
        <v>1635</v>
      </c>
      <c r="F39" s="18" t="str">
        <f>"0,6709"</f>
        <v>0,6709</v>
      </c>
      <c r="G39" s="18" t="s">
        <v>125</v>
      </c>
      <c r="H39" s="18" t="s">
        <v>958</v>
      </c>
      <c r="I39" s="140" t="s">
        <v>2099</v>
      </c>
      <c r="J39" s="47" t="s">
        <v>1314</v>
      </c>
      <c r="K39" s="47" t="s">
        <v>1314</v>
      </c>
      <c r="L39" s="39"/>
      <c r="M39" s="140" t="s">
        <v>480</v>
      </c>
      <c r="N39" s="140" t="s">
        <v>132</v>
      </c>
      <c r="O39" s="47" t="s">
        <v>1315</v>
      </c>
      <c r="P39" s="39"/>
      <c r="Q39" s="140" t="s">
        <v>237</v>
      </c>
      <c r="R39" s="140" t="s">
        <v>246</v>
      </c>
      <c r="S39" s="140" t="s">
        <v>991</v>
      </c>
      <c r="T39" s="39"/>
      <c r="U39" s="40">
        <v>622.5</v>
      </c>
      <c r="V39" s="38" t="str">
        <f>"417,6352"</f>
        <v>417,6352</v>
      </c>
      <c r="W39" s="18" t="s">
        <v>51</v>
      </c>
    </row>
    <row r="40" spans="1:23" ht="12.75">
      <c r="A40" s="29">
        <v>2</v>
      </c>
      <c r="C40" s="19" t="s">
        <v>4450</v>
      </c>
      <c r="D40" s="19" t="s">
        <v>1316</v>
      </c>
      <c r="E40" s="19" t="s">
        <v>1786</v>
      </c>
      <c r="F40" s="19" t="str">
        <f>"0,6790"</f>
        <v>0,6790</v>
      </c>
      <c r="G40" s="19" t="s">
        <v>31</v>
      </c>
      <c r="H40" s="19" t="s">
        <v>1193</v>
      </c>
      <c r="I40" s="139" t="s">
        <v>190</v>
      </c>
      <c r="J40" s="139" t="s">
        <v>191</v>
      </c>
      <c r="K40" s="139" t="s">
        <v>252</v>
      </c>
      <c r="L40" s="42"/>
      <c r="M40" s="139" t="s">
        <v>551</v>
      </c>
      <c r="N40" s="139" t="s">
        <v>136</v>
      </c>
      <c r="O40" s="139" t="s">
        <v>811</v>
      </c>
      <c r="P40" s="42"/>
      <c r="Q40" s="139" t="s">
        <v>191</v>
      </c>
      <c r="R40" s="139" t="s">
        <v>237</v>
      </c>
      <c r="S40" s="139" t="s">
        <v>245</v>
      </c>
      <c r="T40" s="42"/>
      <c r="U40" s="43">
        <v>590</v>
      </c>
      <c r="V40" s="41" t="str">
        <f>"400,6100"</f>
        <v>400,6100</v>
      </c>
      <c r="W40" s="19" t="s">
        <v>51</v>
      </c>
    </row>
    <row r="42" spans="3:22" ht="15.75">
      <c r="C42" s="541" t="s">
        <v>59</v>
      </c>
      <c r="D42" s="541"/>
      <c r="E42" s="541"/>
      <c r="F42" s="541"/>
      <c r="G42" s="541"/>
      <c r="H42" s="541"/>
      <c r="I42" s="541"/>
      <c r="J42" s="541"/>
      <c r="K42" s="541"/>
      <c r="L42" s="541"/>
      <c r="M42" s="541"/>
      <c r="N42" s="541"/>
      <c r="O42" s="541"/>
      <c r="P42" s="541"/>
      <c r="Q42" s="541"/>
      <c r="R42" s="541"/>
      <c r="S42" s="541"/>
      <c r="T42" s="541"/>
      <c r="U42" s="541"/>
      <c r="V42" s="541"/>
    </row>
    <row r="43" spans="1:23" ht="12.75">
      <c r="A43" s="29">
        <v>1</v>
      </c>
      <c r="C43" s="17" t="s">
        <v>4451</v>
      </c>
      <c r="D43" s="17" t="s">
        <v>1318</v>
      </c>
      <c r="E43" s="17" t="s">
        <v>1750</v>
      </c>
      <c r="F43" s="17" t="str">
        <f>"0,6475"</f>
        <v>0,6475</v>
      </c>
      <c r="G43" s="17" t="s">
        <v>31</v>
      </c>
      <c r="H43" s="17" t="s">
        <v>1903</v>
      </c>
      <c r="I43" s="138" t="s">
        <v>153</v>
      </c>
      <c r="J43" s="138" t="s">
        <v>175</v>
      </c>
      <c r="K43" s="138" t="s">
        <v>176</v>
      </c>
      <c r="L43" s="36"/>
      <c r="M43" s="138" t="s">
        <v>447</v>
      </c>
      <c r="N43" s="138" t="s">
        <v>101</v>
      </c>
      <c r="O43" s="138" t="s">
        <v>551</v>
      </c>
      <c r="P43" s="36"/>
      <c r="Q43" s="138" t="s">
        <v>183</v>
      </c>
      <c r="R43" s="138" t="s">
        <v>127</v>
      </c>
      <c r="S43" s="138" t="s">
        <v>108</v>
      </c>
      <c r="T43" s="36"/>
      <c r="U43" s="44">
        <v>517.5</v>
      </c>
      <c r="V43" s="35" t="str">
        <f>"335,0812"</f>
        <v>335,0812</v>
      </c>
      <c r="W43" s="17" t="s">
        <v>1912</v>
      </c>
    </row>
    <row r="44" spans="1:23" ht="12.75">
      <c r="A44" s="29">
        <v>2</v>
      </c>
      <c r="B44" s="410">
        <v>9</v>
      </c>
      <c r="C44" s="18" t="s">
        <v>4452</v>
      </c>
      <c r="D44" s="18" t="s">
        <v>1320</v>
      </c>
      <c r="E44" s="18" t="s">
        <v>1896</v>
      </c>
      <c r="F44" s="18" t="str">
        <f>"0,6642"</f>
        <v>0,6642</v>
      </c>
      <c r="G44" s="18" t="s">
        <v>14</v>
      </c>
      <c r="H44" s="18" t="s">
        <v>1903</v>
      </c>
      <c r="I44" s="140" t="s">
        <v>127</v>
      </c>
      <c r="J44" s="140" t="s">
        <v>108</v>
      </c>
      <c r="K44" s="140" t="s">
        <v>109</v>
      </c>
      <c r="L44" s="39"/>
      <c r="M44" s="140" t="s">
        <v>471</v>
      </c>
      <c r="N44" s="140" t="s">
        <v>544</v>
      </c>
      <c r="O44" s="47" t="s">
        <v>528</v>
      </c>
      <c r="P44" s="39"/>
      <c r="Q44" s="140" t="s">
        <v>153</v>
      </c>
      <c r="R44" s="140" t="s">
        <v>175</v>
      </c>
      <c r="S44" s="47" t="s">
        <v>109</v>
      </c>
      <c r="T44" s="39"/>
      <c r="U44" s="40">
        <v>500</v>
      </c>
      <c r="V44" s="38" t="str">
        <f>"332,1000"</f>
        <v>332,1000</v>
      </c>
      <c r="W44" s="18" t="s">
        <v>1741</v>
      </c>
    </row>
    <row r="45" spans="1:23" ht="12.75">
      <c r="A45" s="29">
        <v>1</v>
      </c>
      <c r="C45" s="18" t="s">
        <v>4453</v>
      </c>
      <c r="D45" s="18" t="s">
        <v>1321</v>
      </c>
      <c r="E45" s="18" t="s">
        <v>1897</v>
      </c>
      <c r="F45" s="18" t="str">
        <f>"0,6495"</f>
        <v>0,6495</v>
      </c>
      <c r="G45" s="18" t="s">
        <v>31</v>
      </c>
      <c r="H45" s="18" t="s">
        <v>1322</v>
      </c>
      <c r="I45" s="140" t="s">
        <v>121</v>
      </c>
      <c r="J45" s="140" t="s">
        <v>237</v>
      </c>
      <c r="K45" s="47" t="s">
        <v>238</v>
      </c>
      <c r="L45" s="39"/>
      <c r="M45" s="140" t="s">
        <v>88</v>
      </c>
      <c r="N45" s="140" t="s">
        <v>89</v>
      </c>
      <c r="O45" s="140" t="s">
        <v>551</v>
      </c>
      <c r="P45" s="39"/>
      <c r="Q45" s="140" t="s">
        <v>121</v>
      </c>
      <c r="R45" s="140" t="s">
        <v>192</v>
      </c>
      <c r="S45" s="140" t="s">
        <v>253</v>
      </c>
      <c r="T45" s="39"/>
      <c r="U45" s="40">
        <v>577.5</v>
      </c>
      <c r="V45" s="38" t="str">
        <f>"375,0863"</f>
        <v>375,0863</v>
      </c>
      <c r="W45" s="18" t="s">
        <v>1912</v>
      </c>
    </row>
    <row r="46" spans="1:23" ht="12.75">
      <c r="A46" s="29">
        <v>2</v>
      </c>
      <c r="C46" s="18" t="s">
        <v>4454</v>
      </c>
      <c r="D46" s="18" t="s">
        <v>1323</v>
      </c>
      <c r="E46" s="18" t="s">
        <v>1898</v>
      </c>
      <c r="F46" s="18" t="str">
        <f>"0,6395"</f>
        <v>0,6395</v>
      </c>
      <c r="G46" s="18" t="s">
        <v>31</v>
      </c>
      <c r="H46" s="18" t="s">
        <v>1322</v>
      </c>
      <c r="I46" s="140" t="s">
        <v>153</v>
      </c>
      <c r="J46" s="140" t="s">
        <v>175</v>
      </c>
      <c r="K46" s="140" t="s">
        <v>176</v>
      </c>
      <c r="L46" s="39"/>
      <c r="M46" s="140" t="s">
        <v>88</v>
      </c>
      <c r="N46" s="140" t="s">
        <v>89</v>
      </c>
      <c r="O46" s="47" t="s">
        <v>480</v>
      </c>
      <c r="P46" s="39"/>
      <c r="Q46" s="140" t="s">
        <v>108</v>
      </c>
      <c r="R46" s="140" t="s">
        <v>121</v>
      </c>
      <c r="S46" s="140" t="s">
        <v>192</v>
      </c>
      <c r="T46" s="39"/>
      <c r="U46" s="40">
        <v>537.5</v>
      </c>
      <c r="V46" s="38" t="str">
        <f>"343,7313"</f>
        <v>343,7313</v>
      </c>
      <c r="W46" s="18" t="s">
        <v>1912</v>
      </c>
    </row>
    <row r="47" spans="3:23" ht="12.75">
      <c r="C47" s="18" t="s">
        <v>1324</v>
      </c>
      <c r="D47" s="18" t="s">
        <v>1325</v>
      </c>
      <c r="E47" s="18" t="s">
        <v>1899</v>
      </c>
      <c r="F47" s="18" t="str">
        <f>"0,6597"</f>
        <v>0,6597</v>
      </c>
      <c r="G47" s="18" t="s">
        <v>31</v>
      </c>
      <c r="H47" s="18" t="s">
        <v>1304</v>
      </c>
      <c r="I47" s="47" t="s">
        <v>884</v>
      </c>
      <c r="J47" s="47" t="s">
        <v>884</v>
      </c>
      <c r="K47" s="47" t="s">
        <v>884</v>
      </c>
      <c r="L47" s="39"/>
      <c r="M47" s="39"/>
      <c r="N47" s="39"/>
      <c r="O47" s="39"/>
      <c r="P47" s="39"/>
      <c r="Q47" s="39"/>
      <c r="R47" s="39"/>
      <c r="S47" s="39"/>
      <c r="T47" s="39"/>
      <c r="U47" s="52">
        <v>0</v>
      </c>
      <c r="V47" s="38" t="s">
        <v>1639</v>
      </c>
      <c r="W47" s="18" t="s">
        <v>51</v>
      </c>
    </row>
    <row r="48" spans="1:23" ht="12.75">
      <c r="A48" s="29">
        <v>1</v>
      </c>
      <c r="C48" s="18" t="s">
        <v>4455</v>
      </c>
      <c r="D48" s="18" t="s">
        <v>1327</v>
      </c>
      <c r="E48" s="18" t="s">
        <v>1900</v>
      </c>
      <c r="F48" s="18" t="str">
        <f>"0,6459"</f>
        <v>0,6459</v>
      </c>
      <c r="G48" s="18" t="s">
        <v>31</v>
      </c>
      <c r="H48" s="18" t="s">
        <v>1328</v>
      </c>
      <c r="I48" s="140" t="s">
        <v>237</v>
      </c>
      <c r="J48" s="140" t="s">
        <v>317</v>
      </c>
      <c r="K48" s="140" t="s">
        <v>368</v>
      </c>
      <c r="L48" s="39"/>
      <c r="M48" s="140" t="s">
        <v>551</v>
      </c>
      <c r="N48" s="140" t="s">
        <v>136</v>
      </c>
      <c r="O48" s="140" t="s">
        <v>811</v>
      </c>
      <c r="P48" s="39"/>
      <c r="Q48" s="140" t="s">
        <v>238</v>
      </c>
      <c r="R48" s="140" t="s">
        <v>317</v>
      </c>
      <c r="S48" s="140" t="s">
        <v>883</v>
      </c>
      <c r="T48" s="39"/>
      <c r="U48" s="40">
        <v>645</v>
      </c>
      <c r="V48" s="38" t="str">
        <f>"416,6055"</f>
        <v>416,6055</v>
      </c>
      <c r="W48" s="18" t="s">
        <v>1913</v>
      </c>
    </row>
    <row r="49" spans="1:23" ht="12.75">
      <c r="A49" s="29">
        <v>2</v>
      </c>
      <c r="C49" s="18" t="s">
        <v>4456</v>
      </c>
      <c r="D49" s="18" t="s">
        <v>1329</v>
      </c>
      <c r="E49" s="18" t="s">
        <v>1901</v>
      </c>
      <c r="F49" s="18" t="str">
        <f>"0,6455"</f>
        <v>0,6455</v>
      </c>
      <c r="G49" s="18" t="s">
        <v>31</v>
      </c>
      <c r="H49" s="18" t="s">
        <v>1330</v>
      </c>
      <c r="I49" s="140" t="s">
        <v>121</v>
      </c>
      <c r="J49" s="140" t="s">
        <v>192</v>
      </c>
      <c r="K49" s="140" t="s">
        <v>237</v>
      </c>
      <c r="L49" s="39"/>
      <c r="M49" s="140" t="s">
        <v>131</v>
      </c>
      <c r="N49" s="47" t="s">
        <v>63</v>
      </c>
      <c r="O49" s="47" t="s">
        <v>63</v>
      </c>
      <c r="P49" s="39"/>
      <c r="Q49" s="140" t="s">
        <v>238</v>
      </c>
      <c r="R49" s="140" t="s">
        <v>318</v>
      </c>
      <c r="S49" s="47" t="s">
        <v>845</v>
      </c>
      <c r="T49" s="39"/>
      <c r="U49" s="52">
        <v>612.5</v>
      </c>
      <c r="V49" s="38" t="s">
        <v>2222</v>
      </c>
      <c r="W49" s="18" t="s">
        <v>1842</v>
      </c>
    </row>
    <row r="50" spans="3:23" ht="12.75">
      <c r="C50" s="18" t="s">
        <v>1331</v>
      </c>
      <c r="D50" s="18" t="s">
        <v>1332</v>
      </c>
      <c r="E50" s="18" t="s">
        <v>1902</v>
      </c>
      <c r="F50" s="18" t="str">
        <f>"0,6463"</f>
        <v>0,6463</v>
      </c>
      <c r="G50" s="18" t="s">
        <v>31</v>
      </c>
      <c r="H50" s="18" t="s">
        <v>1903</v>
      </c>
      <c r="I50" s="47" t="s">
        <v>153</v>
      </c>
      <c r="J50" s="140" t="s">
        <v>126</v>
      </c>
      <c r="K50" s="140" t="s">
        <v>108</v>
      </c>
      <c r="L50" s="39"/>
      <c r="M50" s="47" t="s">
        <v>89</v>
      </c>
      <c r="N50" s="47" t="s">
        <v>89</v>
      </c>
      <c r="O50" s="47" t="s">
        <v>89</v>
      </c>
      <c r="P50" s="39"/>
      <c r="Q50" s="38"/>
      <c r="R50" s="39"/>
      <c r="S50" s="39"/>
      <c r="T50" s="39"/>
      <c r="U50" s="52">
        <v>0</v>
      </c>
      <c r="V50" s="38" t="s">
        <v>1639</v>
      </c>
      <c r="W50" s="18" t="s">
        <v>1912</v>
      </c>
    </row>
    <row r="51" spans="1:23" ht="12.75">
      <c r="A51" s="29">
        <v>1</v>
      </c>
      <c r="C51" s="19" t="s">
        <v>4456</v>
      </c>
      <c r="D51" s="19" t="s">
        <v>1333</v>
      </c>
      <c r="E51" s="19" t="s">
        <v>1901</v>
      </c>
      <c r="F51" s="19" t="str">
        <f>"0,6455"</f>
        <v>0,6455</v>
      </c>
      <c r="G51" s="19" t="s">
        <v>31</v>
      </c>
      <c r="H51" s="19" t="s">
        <v>1330</v>
      </c>
      <c r="I51" s="139" t="s">
        <v>121</v>
      </c>
      <c r="J51" s="139" t="s">
        <v>192</v>
      </c>
      <c r="K51" s="139" t="s">
        <v>237</v>
      </c>
      <c r="L51" s="42"/>
      <c r="M51" s="139" t="s">
        <v>131</v>
      </c>
      <c r="N51" s="48" t="s">
        <v>63</v>
      </c>
      <c r="O51" s="48" t="s">
        <v>63</v>
      </c>
      <c r="P51" s="42"/>
      <c r="Q51" s="139" t="s">
        <v>238</v>
      </c>
      <c r="R51" s="139" t="s">
        <v>318</v>
      </c>
      <c r="S51" s="48" t="s">
        <v>845</v>
      </c>
      <c r="T51" s="42"/>
      <c r="U51" s="51">
        <v>612.5</v>
      </c>
      <c r="V51" s="169" t="s">
        <v>1639</v>
      </c>
      <c r="W51" s="19" t="s">
        <v>1914</v>
      </c>
    </row>
    <row r="53" spans="3:22" ht="15.75">
      <c r="C53" s="541" t="s">
        <v>227</v>
      </c>
      <c r="D53" s="541"/>
      <c r="E53" s="541"/>
      <c r="F53" s="541"/>
      <c r="G53" s="541"/>
      <c r="H53" s="541"/>
      <c r="I53" s="541"/>
      <c r="J53" s="541"/>
      <c r="K53" s="541"/>
      <c r="L53" s="541"/>
      <c r="M53" s="541"/>
      <c r="N53" s="541"/>
      <c r="O53" s="541"/>
      <c r="P53" s="541"/>
      <c r="Q53" s="541"/>
      <c r="R53" s="541"/>
      <c r="S53" s="541"/>
      <c r="T53" s="541"/>
      <c r="U53" s="541"/>
      <c r="V53" s="541"/>
    </row>
    <row r="54" spans="1:23" ht="12.75">
      <c r="A54" s="29">
        <v>1</v>
      </c>
      <c r="C54" s="20" t="s">
        <v>4457</v>
      </c>
      <c r="D54" s="20" t="s">
        <v>1335</v>
      </c>
      <c r="E54" s="20" t="s">
        <v>25</v>
      </c>
      <c r="F54" s="20" t="str">
        <f>"0,5885"</f>
        <v>0,5885</v>
      </c>
      <c r="G54" s="20" t="s">
        <v>31</v>
      </c>
      <c r="H54" s="20" t="s">
        <v>1312</v>
      </c>
      <c r="I54" s="134" t="s">
        <v>860</v>
      </c>
      <c r="J54" s="134" t="s">
        <v>836</v>
      </c>
      <c r="K54" s="134" t="s">
        <v>920</v>
      </c>
      <c r="L54" s="31"/>
      <c r="M54" s="134" t="s">
        <v>108</v>
      </c>
      <c r="N54" s="134" t="s">
        <v>109</v>
      </c>
      <c r="O54" s="134" t="s">
        <v>202</v>
      </c>
      <c r="P54" s="31"/>
      <c r="Q54" s="134" t="s">
        <v>834</v>
      </c>
      <c r="R54" s="134" t="s">
        <v>855</v>
      </c>
      <c r="S54" s="31"/>
      <c r="T54" s="31"/>
      <c r="U54" s="34">
        <v>872.5</v>
      </c>
      <c r="V54" s="33" t="str">
        <f>"513,4663"</f>
        <v>513,4663</v>
      </c>
      <c r="W54" s="20" t="s">
        <v>51</v>
      </c>
    </row>
    <row r="56" spans="3:4" ht="18">
      <c r="C56" s="16" t="s">
        <v>370</v>
      </c>
      <c r="D56" s="16"/>
    </row>
    <row r="57" spans="3:4" ht="15.75">
      <c r="C57" s="22" t="s">
        <v>371</v>
      </c>
      <c r="D57" s="22"/>
    </row>
    <row r="58" spans="3:4" ht="13.5">
      <c r="C58" s="24"/>
      <c r="D58" s="25" t="s">
        <v>2102</v>
      </c>
    </row>
    <row r="59" spans="3:7" ht="13.5">
      <c r="C59" s="26" t="s">
        <v>373</v>
      </c>
      <c r="D59" s="26" t="s">
        <v>374</v>
      </c>
      <c r="E59" s="26" t="s">
        <v>375</v>
      </c>
      <c r="F59" s="26" t="s">
        <v>376</v>
      </c>
      <c r="G59" s="26" t="s">
        <v>377</v>
      </c>
    </row>
    <row r="60" spans="1:7" ht="12.75">
      <c r="A60" s="29">
        <v>1</v>
      </c>
      <c r="C60" s="90" t="s">
        <v>1290</v>
      </c>
      <c r="D60" s="49" t="s">
        <v>372</v>
      </c>
      <c r="E60" s="49" t="s">
        <v>385</v>
      </c>
      <c r="F60" s="49" t="s">
        <v>901</v>
      </c>
      <c r="G60" s="50" t="s">
        <v>1336</v>
      </c>
    </row>
    <row r="61" spans="1:7" ht="12.75">
      <c r="A61" s="29">
        <v>2</v>
      </c>
      <c r="C61" s="90" t="s">
        <v>1301</v>
      </c>
      <c r="D61" s="49" t="s">
        <v>372</v>
      </c>
      <c r="E61" s="49" t="s">
        <v>771</v>
      </c>
      <c r="F61" s="49" t="s">
        <v>1337</v>
      </c>
      <c r="G61" s="50" t="s">
        <v>1338</v>
      </c>
    </row>
    <row r="62" spans="1:7" ht="12.75">
      <c r="A62" s="29">
        <v>3</v>
      </c>
      <c r="C62" s="90" t="s">
        <v>1294</v>
      </c>
      <c r="D62" s="49" t="s">
        <v>372</v>
      </c>
      <c r="E62" s="49" t="s">
        <v>764</v>
      </c>
      <c r="F62" s="49" t="s">
        <v>901</v>
      </c>
      <c r="G62" s="50" t="s">
        <v>1339</v>
      </c>
    </row>
    <row r="64" spans="3:4" ht="15.75">
      <c r="C64" s="22" t="s">
        <v>387</v>
      </c>
      <c r="D64" s="22"/>
    </row>
    <row r="65" spans="3:4" ht="13.5">
      <c r="C65" s="24"/>
      <c r="D65" s="25" t="s">
        <v>2102</v>
      </c>
    </row>
    <row r="66" spans="3:7" ht="13.5">
      <c r="C66" s="26" t="s">
        <v>373</v>
      </c>
      <c r="D66" s="26" t="s">
        <v>374</v>
      </c>
      <c r="E66" s="26" t="s">
        <v>375</v>
      </c>
      <c r="F66" s="26" t="s">
        <v>376</v>
      </c>
      <c r="G66" s="26" t="s">
        <v>377</v>
      </c>
    </row>
    <row r="67" spans="1:23" s="413" customFormat="1" ht="12.75">
      <c r="A67" s="29">
        <v>1</v>
      </c>
      <c r="B67" s="410"/>
      <c r="C67" s="220" t="s">
        <v>1310</v>
      </c>
      <c r="D67" s="411" t="s">
        <v>388</v>
      </c>
      <c r="E67" s="222" t="s">
        <v>513</v>
      </c>
      <c r="F67" s="222" t="s">
        <v>4101</v>
      </c>
      <c r="G67" s="221" t="s">
        <v>4102</v>
      </c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27"/>
      <c r="V67" s="412"/>
      <c r="W67" s="412"/>
    </row>
    <row r="68" spans="1:7" ht="12.75">
      <c r="A68" s="29">
        <v>2</v>
      </c>
      <c r="C68" s="90" t="s">
        <v>1317</v>
      </c>
      <c r="D68" s="49" t="s">
        <v>388</v>
      </c>
      <c r="E68" s="49" t="s">
        <v>378</v>
      </c>
      <c r="F68" s="49" t="s">
        <v>1171</v>
      </c>
      <c r="G68" s="50" t="s">
        <v>1340</v>
      </c>
    </row>
    <row r="69" spans="1:7" ht="12.75">
      <c r="A69" s="29">
        <v>3</v>
      </c>
      <c r="C69" s="90" t="s">
        <v>1319</v>
      </c>
      <c r="D69" s="49" t="s">
        <v>388</v>
      </c>
      <c r="E69" s="49" t="s">
        <v>378</v>
      </c>
      <c r="F69" s="49" t="s">
        <v>799</v>
      </c>
      <c r="G69" s="50" t="s">
        <v>1341</v>
      </c>
    </row>
    <row r="70" spans="3:4" ht="13.5">
      <c r="C70" s="24"/>
      <c r="D70" s="25" t="s">
        <v>2102</v>
      </c>
    </row>
    <row r="71" spans="3:7" ht="13.5">
      <c r="C71" s="26" t="s">
        <v>373</v>
      </c>
      <c r="D71" s="26" t="s">
        <v>374</v>
      </c>
      <c r="E71" s="26" t="s">
        <v>375</v>
      </c>
      <c r="F71" s="26" t="s">
        <v>376</v>
      </c>
      <c r="G71" s="26" t="s">
        <v>377</v>
      </c>
    </row>
    <row r="72" spans="1:7" ht="12.75">
      <c r="A72" s="29">
        <v>1</v>
      </c>
      <c r="C72" s="90" t="s">
        <v>1334</v>
      </c>
      <c r="D72" s="49" t="s">
        <v>372</v>
      </c>
      <c r="E72" s="49" t="s">
        <v>392</v>
      </c>
      <c r="F72" s="49" t="s">
        <v>1343</v>
      </c>
      <c r="G72" s="50" t="s">
        <v>1344</v>
      </c>
    </row>
    <row r="73" spans="1:7" ht="12.75">
      <c r="A73" s="29">
        <v>2</v>
      </c>
      <c r="C73" s="90" t="s">
        <v>955</v>
      </c>
      <c r="D73" s="49" t="s">
        <v>372</v>
      </c>
      <c r="E73" s="49" t="s">
        <v>404</v>
      </c>
      <c r="F73" s="49" t="s">
        <v>1345</v>
      </c>
      <c r="G73" s="50" t="s">
        <v>1346</v>
      </c>
    </row>
    <row r="74" spans="1:7" ht="12.75">
      <c r="A74" s="29">
        <v>3</v>
      </c>
      <c r="C74" s="90" t="s">
        <v>1326</v>
      </c>
      <c r="D74" s="49" t="s">
        <v>372</v>
      </c>
      <c r="E74" s="49" t="s">
        <v>378</v>
      </c>
      <c r="F74" s="49" t="s">
        <v>1169</v>
      </c>
      <c r="G74" s="50" t="s">
        <v>1347</v>
      </c>
    </row>
  </sheetData>
  <sheetProtection/>
  <mergeCells count="26">
    <mergeCell ref="B3:B4"/>
    <mergeCell ref="C14:V14"/>
    <mergeCell ref="C42:V42"/>
    <mergeCell ref="C53:V53"/>
    <mergeCell ref="C19:V19"/>
    <mergeCell ref="C23:V23"/>
    <mergeCell ref="C26:V26"/>
    <mergeCell ref="C29:V29"/>
    <mergeCell ref="C33:V33"/>
    <mergeCell ref="C37:V37"/>
    <mergeCell ref="Q3:T3"/>
    <mergeCell ref="U3:U4"/>
    <mergeCell ref="V3:V4"/>
    <mergeCell ref="W3:W4"/>
    <mergeCell ref="C5:V5"/>
    <mergeCell ref="C9:V9"/>
    <mergeCell ref="A3:A4"/>
    <mergeCell ref="C1:W2"/>
    <mergeCell ref="C3:C4"/>
    <mergeCell ref="D3:D4"/>
    <mergeCell ref="E3:E4"/>
    <mergeCell ref="F3:F4"/>
    <mergeCell ref="G3:G4"/>
    <mergeCell ref="H3:H4"/>
    <mergeCell ref="I3:L3"/>
    <mergeCell ref="M3:P3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D56">
      <selection activeCell="H80" sqref="H80"/>
    </sheetView>
  </sheetViews>
  <sheetFormatPr defaultColWidth="8.75390625" defaultRowHeight="12.75"/>
  <cols>
    <col min="1" max="1" width="7.75390625" style="29" customWidth="1"/>
    <col min="2" max="2" width="13.00390625" style="410" customWidth="1"/>
    <col min="3" max="3" width="25.00390625" style="15" customWidth="1"/>
    <col min="4" max="4" width="27.125" style="15" bestFit="1" customWidth="1"/>
    <col min="5" max="5" width="10.625" style="15" bestFit="1" customWidth="1"/>
    <col min="6" max="6" width="8.375" style="15" bestFit="1" customWidth="1"/>
    <col min="7" max="7" width="21.75390625" style="15" customWidth="1"/>
    <col min="8" max="8" width="31.625" style="15" customWidth="1"/>
    <col min="9" max="20" width="5.625" style="15" bestFit="1" customWidth="1"/>
    <col min="21" max="21" width="7.875" style="30" bestFit="1" customWidth="1"/>
    <col min="22" max="22" width="8.625" style="15" bestFit="1" customWidth="1"/>
    <col min="23" max="23" width="22.25390625" style="15" customWidth="1"/>
  </cols>
  <sheetData>
    <row r="1" spans="1:23" s="1" customFormat="1" ht="15" customHeight="1">
      <c r="A1" s="28"/>
      <c r="B1" s="443"/>
      <c r="C1" s="552" t="s">
        <v>2168</v>
      </c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</row>
    <row r="2" spans="1:23" s="1" customFormat="1" ht="80.25" customHeight="1" thickBot="1">
      <c r="A2" s="28"/>
      <c r="B2" s="44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</row>
    <row r="3" spans="1:23" s="2" customFormat="1" ht="12.75" customHeight="1">
      <c r="A3" s="546" t="s">
        <v>1627</v>
      </c>
      <c r="B3" s="516" t="s">
        <v>4516</v>
      </c>
      <c r="C3" s="542" t="s">
        <v>0</v>
      </c>
      <c r="D3" s="548" t="s">
        <v>1628</v>
      </c>
      <c r="E3" s="548" t="s">
        <v>1629</v>
      </c>
      <c r="F3" s="542" t="s">
        <v>9</v>
      </c>
      <c r="G3" s="542" t="s">
        <v>7</v>
      </c>
      <c r="H3" s="514" t="s">
        <v>3275</v>
      </c>
      <c r="I3" s="542" t="s">
        <v>1</v>
      </c>
      <c r="J3" s="542"/>
      <c r="K3" s="542"/>
      <c r="L3" s="542"/>
      <c r="M3" s="542" t="s">
        <v>2</v>
      </c>
      <c r="N3" s="542"/>
      <c r="O3" s="542"/>
      <c r="P3" s="542"/>
      <c r="Q3" s="542" t="s">
        <v>3</v>
      </c>
      <c r="R3" s="542"/>
      <c r="S3" s="542"/>
      <c r="T3" s="542"/>
      <c r="U3" s="550" t="s">
        <v>4</v>
      </c>
      <c r="V3" s="542" t="s">
        <v>6</v>
      </c>
      <c r="W3" s="544" t="s">
        <v>5</v>
      </c>
    </row>
    <row r="4" spans="1:23" s="2" customFormat="1" ht="21" customHeight="1" thickBot="1">
      <c r="A4" s="547"/>
      <c r="B4" s="517"/>
      <c r="C4" s="543"/>
      <c r="D4" s="543"/>
      <c r="E4" s="549"/>
      <c r="F4" s="543"/>
      <c r="G4" s="543"/>
      <c r="H4" s="515"/>
      <c r="I4" s="3">
        <v>1</v>
      </c>
      <c r="J4" s="3">
        <v>2</v>
      </c>
      <c r="K4" s="3">
        <v>3</v>
      </c>
      <c r="L4" s="3" t="s">
        <v>8</v>
      </c>
      <c r="M4" s="3">
        <v>1</v>
      </c>
      <c r="N4" s="3">
        <v>2</v>
      </c>
      <c r="O4" s="3">
        <v>3</v>
      </c>
      <c r="P4" s="3" t="s">
        <v>8</v>
      </c>
      <c r="Q4" s="3">
        <v>1</v>
      </c>
      <c r="R4" s="3">
        <v>2</v>
      </c>
      <c r="S4" s="3">
        <v>3</v>
      </c>
      <c r="T4" s="3" t="s">
        <v>8</v>
      </c>
      <c r="U4" s="551"/>
      <c r="V4" s="543"/>
      <c r="W4" s="545"/>
    </row>
    <row r="5" spans="3:22" ht="15.75">
      <c r="C5" s="526" t="s">
        <v>66</v>
      </c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</row>
    <row r="6" spans="1:23" ht="12.75">
      <c r="A6" s="29">
        <v>1</v>
      </c>
      <c r="B6" s="410">
        <v>12</v>
      </c>
      <c r="C6" s="20" t="s">
        <v>4458</v>
      </c>
      <c r="D6" s="17" t="s">
        <v>1200</v>
      </c>
      <c r="E6" s="17" t="s">
        <v>1915</v>
      </c>
      <c r="F6" s="17" t="str">
        <f>"1,2485"</f>
        <v>1,2485</v>
      </c>
      <c r="G6" s="17" t="s">
        <v>2104</v>
      </c>
      <c r="H6" s="17" t="s">
        <v>1642</v>
      </c>
      <c r="I6" s="46" t="s">
        <v>416</v>
      </c>
      <c r="J6" s="138" t="s">
        <v>48</v>
      </c>
      <c r="K6" s="46" t="s">
        <v>474</v>
      </c>
      <c r="L6" s="36"/>
      <c r="M6" s="138" t="s">
        <v>71</v>
      </c>
      <c r="N6" s="46" t="s">
        <v>432</v>
      </c>
      <c r="O6" s="46" t="s">
        <v>432</v>
      </c>
      <c r="P6" s="36"/>
      <c r="Q6" s="138" t="s">
        <v>33</v>
      </c>
      <c r="R6" s="138" t="s">
        <v>471</v>
      </c>
      <c r="S6" s="138" t="s">
        <v>544</v>
      </c>
      <c r="T6" s="36"/>
      <c r="U6" s="44">
        <v>237.5</v>
      </c>
      <c r="V6" s="35" t="str">
        <f>"296,5187"</f>
        <v>296,5187</v>
      </c>
      <c r="W6" s="17" t="s">
        <v>1904</v>
      </c>
    </row>
    <row r="7" spans="3:23" ht="12.75"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179"/>
      <c r="V7" s="84"/>
      <c r="W7" s="84"/>
    </row>
    <row r="8" spans="3:22" ht="15.75">
      <c r="C8" s="526" t="s">
        <v>10</v>
      </c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</row>
    <row r="9" spans="1:23" ht="12.75">
      <c r="A9" s="29">
        <v>1</v>
      </c>
      <c r="B9" s="410">
        <v>12</v>
      </c>
      <c r="C9" s="20" t="s">
        <v>4459</v>
      </c>
      <c r="D9" s="17" t="s">
        <v>1201</v>
      </c>
      <c r="E9" s="17" t="s">
        <v>1916</v>
      </c>
      <c r="F9" s="17" t="str">
        <f>"1,2230"</f>
        <v>1,2230</v>
      </c>
      <c r="G9" s="17" t="s">
        <v>14</v>
      </c>
      <c r="H9" s="17" t="s">
        <v>1642</v>
      </c>
      <c r="I9" s="180" t="s">
        <v>49</v>
      </c>
      <c r="J9" s="46" t="s">
        <v>49</v>
      </c>
      <c r="K9" s="138" t="s">
        <v>49</v>
      </c>
      <c r="L9" s="36"/>
      <c r="M9" s="138" t="s">
        <v>16</v>
      </c>
      <c r="N9" s="138" t="s">
        <v>70</v>
      </c>
      <c r="O9" s="138" t="s">
        <v>71</v>
      </c>
      <c r="P9" s="36"/>
      <c r="Q9" s="138" t="s">
        <v>57</v>
      </c>
      <c r="R9" s="138" t="s">
        <v>513</v>
      </c>
      <c r="S9" s="46" t="s">
        <v>49</v>
      </c>
      <c r="T9" s="36"/>
      <c r="U9" s="44">
        <v>217.5</v>
      </c>
      <c r="V9" s="35" t="str">
        <f>"266,0025"</f>
        <v>266,0025</v>
      </c>
      <c r="W9" s="17" t="s">
        <v>1943</v>
      </c>
    </row>
    <row r="10" spans="3:23" ht="12.75"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179"/>
      <c r="V10" s="84"/>
      <c r="W10" s="84"/>
    </row>
    <row r="11" spans="3:22" ht="15.75">
      <c r="C11" s="526" t="s">
        <v>18</v>
      </c>
      <c r="D11" s="526"/>
      <c r="E11" s="526"/>
      <c r="F11" s="526"/>
      <c r="G11" s="526"/>
      <c r="H11" s="526"/>
      <c r="I11" s="526"/>
      <c r="J11" s="526"/>
      <c r="K11" s="526"/>
      <c r="L11" s="526"/>
      <c r="M11" s="526"/>
      <c r="N11" s="526"/>
      <c r="O11" s="526"/>
      <c r="P11" s="526"/>
      <c r="Q11" s="526"/>
      <c r="R11" s="526"/>
      <c r="S11" s="526"/>
      <c r="T11" s="526"/>
      <c r="U11" s="526"/>
      <c r="V11" s="526"/>
    </row>
    <row r="12" spans="1:23" ht="12.75">
      <c r="A12" s="29">
        <v>1</v>
      </c>
      <c r="B12" s="410">
        <v>12</v>
      </c>
      <c r="C12" s="17" t="s">
        <v>4460</v>
      </c>
      <c r="D12" s="17" t="s">
        <v>1202</v>
      </c>
      <c r="E12" s="17" t="s">
        <v>1777</v>
      </c>
      <c r="F12" s="17" t="str">
        <f>"1,0272"</f>
        <v>1,0272</v>
      </c>
      <c r="G12" s="17" t="s">
        <v>161</v>
      </c>
      <c r="H12" s="17" t="s">
        <v>1939</v>
      </c>
      <c r="I12" s="138" t="s">
        <v>303</v>
      </c>
      <c r="J12" s="138" t="s">
        <v>544</v>
      </c>
      <c r="K12" s="46" t="s">
        <v>88</v>
      </c>
      <c r="L12" s="36"/>
      <c r="M12" s="138" t="s">
        <v>70</v>
      </c>
      <c r="N12" s="46" t="s">
        <v>421</v>
      </c>
      <c r="O12" s="46" t="s">
        <v>421</v>
      </c>
      <c r="P12" s="36"/>
      <c r="Q12" s="138" t="s">
        <v>474</v>
      </c>
      <c r="R12" s="138" t="s">
        <v>33</v>
      </c>
      <c r="S12" s="46" t="s">
        <v>452</v>
      </c>
      <c r="T12" s="36"/>
      <c r="U12" s="44">
        <v>250</v>
      </c>
      <c r="V12" s="35" t="str">
        <f>"256,8000"</f>
        <v>256,8000</v>
      </c>
      <c r="W12" s="17" t="s">
        <v>1905</v>
      </c>
    </row>
    <row r="13" spans="1:23" ht="12.75">
      <c r="A13" s="29">
        <v>1</v>
      </c>
      <c r="B13" s="410">
        <v>30</v>
      </c>
      <c r="C13" s="19" t="s">
        <v>4461</v>
      </c>
      <c r="D13" s="19" t="s">
        <v>1204</v>
      </c>
      <c r="E13" s="19" t="s">
        <v>55</v>
      </c>
      <c r="F13" s="19" t="str">
        <f>"1,0206"</f>
        <v>1,0206</v>
      </c>
      <c r="G13" s="19" t="s">
        <v>14</v>
      </c>
      <c r="H13" s="19" t="s">
        <v>958</v>
      </c>
      <c r="I13" s="139" t="s">
        <v>175</v>
      </c>
      <c r="J13" s="139" t="s">
        <v>190</v>
      </c>
      <c r="K13" s="48" t="s">
        <v>192</v>
      </c>
      <c r="L13" s="42"/>
      <c r="M13" s="139" t="s">
        <v>474</v>
      </c>
      <c r="N13" s="139" t="s">
        <v>49</v>
      </c>
      <c r="O13" s="139" t="s">
        <v>33</v>
      </c>
      <c r="P13" s="42"/>
      <c r="Q13" s="139" t="s">
        <v>153</v>
      </c>
      <c r="R13" s="139" t="s">
        <v>127</v>
      </c>
      <c r="S13" s="48" t="s">
        <v>175</v>
      </c>
      <c r="T13" s="42"/>
      <c r="U13" s="43">
        <v>475</v>
      </c>
      <c r="V13" s="41" t="str">
        <f>"484,7850"</f>
        <v>484,7850</v>
      </c>
      <c r="W13" s="19" t="s">
        <v>1648</v>
      </c>
    </row>
    <row r="15" spans="3:22" ht="15.75">
      <c r="C15" s="526" t="s">
        <v>42</v>
      </c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526"/>
      <c r="T15" s="526"/>
      <c r="U15" s="526"/>
      <c r="V15" s="526"/>
    </row>
    <row r="16" spans="1:23" ht="12.75">
      <c r="A16" s="29">
        <v>1</v>
      </c>
      <c r="C16" s="17" t="s">
        <v>4462</v>
      </c>
      <c r="D16" s="88" t="s">
        <v>1206</v>
      </c>
      <c r="E16" s="84" t="s">
        <v>1652</v>
      </c>
      <c r="F16" s="17" t="str">
        <f>"0,9571"</f>
        <v>0,9571</v>
      </c>
      <c r="G16" s="84" t="s">
        <v>31</v>
      </c>
      <c r="H16" s="17" t="s">
        <v>1903</v>
      </c>
      <c r="I16" s="147" t="s">
        <v>202</v>
      </c>
      <c r="J16" s="138" t="s">
        <v>237</v>
      </c>
      <c r="K16" s="147" t="s">
        <v>1207</v>
      </c>
      <c r="L16" s="36"/>
      <c r="M16" s="147" t="s">
        <v>446</v>
      </c>
      <c r="N16" s="138" t="s">
        <v>88</v>
      </c>
      <c r="O16" s="147" t="s">
        <v>447</v>
      </c>
      <c r="P16" s="36"/>
      <c r="Q16" s="147" t="s">
        <v>64</v>
      </c>
      <c r="R16" s="138" t="s">
        <v>153</v>
      </c>
      <c r="S16" s="147" t="s">
        <v>127</v>
      </c>
      <c r="T16" s="36"/>
      <c r="U16" s="151">
        <v>532.5</v>
      </c>
      <c r="V16" s="35" t="str">
        <f>"509,6557"</f>
        <v>509,6557</v>
      </c>
      <c r="W16" s="88" t="s">
        <v>51</v>
      </c>
    </row>
    <row r="17" spans="1:23" ht="12.75">
      <c r="A17" s="29">
        <v>2</v>
      </c>
      <c r="C17" s="18" t="s">
        <v>4463</v>
      </c>
      <c r="D17" s="93" t="s">
        <v>1209</v>
      </c>
      <c r="E17" s="79" t="s">
        <v>1917</v>
      </c>
      <c r="F17" s="18" t="str">
        <f>"0,9689"</f>
        <v>0,9689</v>
      </c>
      <c r="G17" s="79" t="s">
        <v>31</v>
      </c>
      <c r="H17" s="18" t="s">
        <v>1940</v>
      </c>
      <c r="I17" s="146" t="s">
        <v>480</v>
      </c>
      <c r="J17" s="47" t="s">
        <v>64</v>
      </c>
      <c r="K17" s="80" t="s">
        <v>64</v>
      </c>
      <c r="L17" s="39"/>
      <c r="M17" s="146" t="s">
        <v>48</v>
      </c>
      <c r="N17" s="47" t="s">
        <v>49</v>
      </c>
      <c r="O17" s="146" t="s">
        <v>33</v>
      </c>
      <c r="P17" s="39"/>
      <c r="Q17" s="146" t="s">
        <v>132</v>
      </c>
      <c r="R17" s="140" t="s">
        <v>153</v>
      </c>
      <c r="S17" s="146" t="s">
        <v>108</v>
      </c>
      <c r="T17" s="39"/>
      <c r="U17" s="150">
        <v>425</v>
      </c>
      <c r="V17" s="38" t="str">
        <f>"411,7825"</f>
        <v>411,7825</v>
      </c>
      <c r="W17" s="93" t="s">
        <v>1944</v>
      </c>
    </row>
    <row r="18" spans="3:23" ht="12.75">
      <c r="C18" s="19" t="s">
        <v>1549</v>
      </c>
      <c r="D18" s="95" t="s">
        <v>1550</v>
      </c>
      <c r="E18" s="98" t="s">
        <v>1654</v>
      </c>
      <c r="F18" s="19" t="str">
        <f>"0,9638"</f>
        <v>0,9638</v>
      </c>
      <c r="G18" s="98" t="s">
        <v>130</v>
      </c>
      <c r="H18" s="19" t="s">
        <v>1551</v>
      </c>
      <c r="I18" s="153" t="s">
        <v>127</v>
      </c>
      <c r="J18" s="48" t="s">
        <v>127</v>
      </c>
      <c r="K18" s="153" t="s">
        <v>108</v>
      </c>
      <c r="L18" s="42"/>
      <c r="M18" s="98"/>
      <c r="N18" s="19"/>
      <c r="O18" s="98"/>
      <c r="P18" s="19"/>
      <c r="Q18" s="98"/>
      <c r="R18" s="19"/>
      <c r="S18" s="98"/>
      <c r="T18" s="19"/>
      <c r="U18" s="172">
        <v>0</v>
      </c>
      <c r="V18" s="41" t="s">
        <v>1639</v>
      </c>
      <c r="W18" s="95" t="s">
        <v>1666</v>
      </c>
    </row>
    <row r="20" spans="3:22" ht="15.75">
      <c r="C20" s="508" t="s">
        <v>18</v>
      </c>
      <c r="D20" s="508"/>
      <c r="E20" s="508"/>
      <c r="F20" s="508"/>
      <c r="G20" s="508"/>
      <c r="H20" s="508"/>
      <c r="I20" s="508"/>
      <c r="J20" s="508"/>
      <c r="K20" s="508"/>
      <c r="L20" s="508"/>
      <c r="M20" s="508"/>
      <c r="N20" s="508"/>
      <c r="O20" s="508"/>
      <c r="P20" s="508"/>
      <c r="Q20" s="508"/>
      <c r="R20" s="508"/>
      <c r="S20" s="508"/>
      <c r="T20" s="508"/>
      <c r="U20" s="508"/>
      <c r="V20" s="508"/>
    </row>
    <row r="21" spans="1:23" ht="12.75">
      <c r="A21" s="29">
        <v>1</v>
      </c>
      <c r="B21" s="410">
        <v>24</v>
      </c>
      <c r="C21" s="20" t="s">
        <v>4464</v>
      </c>
      <c r="D21" s="20" t="s">
        <v>1211</v>
      </c>
      <c r="E21" s="20" t="s">
        <v>1655</v>
      </c>
      <c r="F21" s="20" t="str">
        <f>"0,7813"</f>
        <v>0,7813</v>
      </c>
      <c r="G21" s="20" t="s">
        <v>2104</v>
      </c>
      <c r="H21" s="20" t="s">
        <v>1903</v>
      </c>
      <c r="I21" s="31" t="s">
        <v>190</v>
      </c>
      <c r="J21" s="134" t="s">
        <v>121</v>
      </c>
      <c r="K21" s="134" t="s">
        <v>252</v>
      </c>
      <c r="L21" s="31"/>
      <c r="M21" s="134" t="s">
        <v>25</v>
      </c>
      <c r="N21" s="134" t="s">
        <v>528</v>
      </c>
      <c r="O21" s="45" t="s">
        <v>88</v>
      </c>
      <c r="P21" s="31"/>
      <c r="Q21" s="134" t="s">
        <v>127</v>
      </c>
      <c r="R21" s="134" t="s">
        <v>108</v>
      </c>
      <c r="S21" s="134" t="s">
        <v>120</v>
      </c>
      <c r="T21" s="31"/>
      <c r="U21" s="34">
        <v>530</v>
      </c>
      <c r="V21" s="33" t="str">
        <f>"414,0890"</f>
        <v>414,0890</v>
      </c>
      <c r="W21" s="20" t="s">
        <v>1674</v>
      </c>
    </row>
    <row r="23" spans="3:22" ht="15.75">
      <c r="C23" s="526" t="s">
        <v>42</v>
      </c>
      <c r="D23" s="526"/>
      <c r="E23" s="526"/>
      <c r="F23" s="526"/>
      <c r="G23" s="526"/>
      <c r="H23" s="526"/>
      <c r="I23" s="526"/>
      <c r="J23" s="526"/>
      <c r="K23" s="526"/>
      <c r="L23" s="526"/>
      <c r="M23" s="526"/>
      <c r="N23" s="526"/>
      <c r="O23" s="526"/>
      <c r="P23" s="526"/>
      <c r="Q23" s="526"/>
      <c r="R23" s="526"/>
      <c r="S23" s="526"/>
      <c r="T23" s="526"/>
      <c r="U23" s="526"/>
      <c r="V23" s="526"/>
    </row>
    <row r="24" spans="3:23" ht="13.5" customHeight="1">
      <c r="C24" s="17" t="s">
        <v>1552</v>
      </c>
      <c r="D24" s="88" t="s">
        <v>1553</v>
      </c>
      <c r="E24" s="84" t="s">
        <v>1713</v>
      </c>
      <c r="F24" s="17" t="str">
        <f>"0,7228"</f>
        <v>0,7228</v>
      </c>
      <c r="G24" s="84" t="s">
        <v>130</v>
      </c>
      <c r="H24" s="83" t="s">
        <v>2245</v>
      </c>
      <c r="I24" s="107" t="s">
        <v>132</v>
      </c>
      <c r="J24" s="46" t="s">
        <v>132</v>
      </c>
      <c r="K24" s="121" t="s">
        <v>132</v>
      </c>
      <c r="L24" s="175"/>
      <c r="M24" s="173"/>
      <c r="N24" s="174"/>
      <c r="O24" s="173"/>
      <c r="P24" s="174"/>
      <c r="Q24" s="173"/>
      <c r="R24" s="174"/>
      <c r="S24" s="173"/>
      <c r="T24" s="176"/>
      <c r="U24" s="177">
        <v>0</v>
      </c>
      <c r="V24" s="35" t="s">
        <v>1639</v>
      </c>
      <c r="W24" s="88" t="s">
        <v>1738</v>
      </c>
    </row>
    <row r="25" spans="1:23" ht="12.75">
      <c r="A25" s="29">
        <v>1</v>
      </c>
      <c r="C25" s="19" t="s">
        <v>4465</v>
      </c>
      <c r="D25" s="95" t="s">
        <v>1213</v>
      </c>
      <c r="E25" s="98" t="s">
        <v>1918</v>
      </c>
      <c r="F25" s="19" t="str">
        <f>"0,7249"</f>
        <v>0,7249</v>
      </c>
      <c r="G25" s="98" t="s">
        <v>31</v>
      </c>
      <c r="H25" s="19" t="s">
        <v>119</v>
      </c>
      <c r="I25" s="108" t="s">
        <v>136</v>
      </c>
      <c r="J25" s="48" t="s">
        <v>136</v>
      </c>
      <c r="K25" s="145" t="s">
        <v>136</v>
      </c>
      <c r="L25" s="42"/>
      <c r="M25" s="148" t="s">
        <v>57</v>
      </c>
      <c r="N25" s="48" t="s">
        <v>48</v>
      </c>
      <c r="O25" s="153" t="s">
        <v>48</v>
      </c>
      <c r="P25" s="42"/>
      <c r="Q25" s="148" t="s">
        <v>126</v>
      </c>
      <c r="R25" s="139" t="s">
        <v>127</v>
      </c>
      <c r="S25" s="148" t="s">
        <v>175</v>
      </c>
      <c r="T25" s="158"/>
      <c r="U25" s="178">
        <v>402.5</v>
      </c>
      <c r="V25" s="41" t="str">
        <f>"437,9502"</f>
        <v>437,9502</v>
      </c>
      <c r="W25" s="95" t="s">
        <v>51</v>
      </c>
    </row>
    <row r="27" spans="3:22" ht="15.75">
      <c r="C27" s="508" t="s">
        <v>116</v>
      </c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8"/>
      <c r="T27" s="508"/>
      <c r="U27" s="508"/>
      <c r="V27" s="508"/>
    </row>
    <row r="28" spans="1:23" ht="12.75">
      <c r="A28" s="29">
        <v>1</v>
      </c>
      <c r="B28" s="410">
        <v>12</v>
      </c>
      <c r="C28" s="17" t="s">
        <v>4466</v>
      </c>
      <c r="D28" s="17" t="s">
        <v>1214</v>
      </c>
      <c r="E28" s="17" t="s">
        <v>48</v>
      </c>
      <c r="F28" s="17" t="str">
        <f>"0,6827"</f>
        <v>0,6827</v>
      </c>
      <c r="G28" s="17" t="s">
        <v>125</v>
      </c>
      <c r="H28" s="17" t="s">
        <v>682</v>
      </c>
      <c r="I28" s="46" t="s">
        <v>191</v>
      </c>
      <c r="J28" s="138" t="s">
        <v>245</v>
      </c>
      <c r="K28" s="46" t="s">
        <v>239</v>
      </c>
      <c r="L28" s="36"/>
      <c r="M28" s="138" t="s">
        <v>303</v>
      </c>
      <c r="N28" s="46" t="s">
        <v>471</v>
      </c>
      <c r="O28" s="46" t="s">
        <v>471</v>
      </c>
      <c r="P28" s="36"/>
      <c r="Q28" s="138" t="s">
        <v>192</v>
      </c>
      <c r="R28" s="138" t="s">
        <v>312</v>
      </c>
      <c r="S28" s="46" t="s">
        <v>239</v>
      </c>
      <c r="T28" s="36"/>
      <c r="U28" s="44">
        <v>552.5</v>
      </c>
      <c r="V28" s="35" t="str">
        <f>"377,1917"</f>
        <v>377,1917</v>
      </c>
      <c r="W28" s="17" t="s">
        <v>51</v>
      </c>
    </row>
    <row r="29" spans="1:23" ht="12.75">
      <c r="A29" s="29">
        <v>1</v>
      </c>
      <c r="B29" s="410">
        <v>30</v>
      </c>
      <c r="C29" s="18" t="s">
        <v>4467</v>
      </c>
      <c r="D29" s="18" t="s">
        <v>1215</v>
      </c>
      <c r="E29" s="18" t="s">
        <v>1692</v>
      </c>
      <c r="F29" s="18" t="str">
        <f>"0,6724"</f>
        <v>0,6724</v>
      </c>
      <c r="G29" s="18" t="s">
        <v>54</v>
      </c>
      <c r="H29" s="18" t="s">
        <v>1216</v>
      </c>
      <c r="I29" s="140" t="s">
        <v>845</v>
      </c>
      <c r="J29" s="47" t="s">
        <v>341</v>
      </c>
      <c r="K29" s="47" t="s">
        <v>341</v>
      </c>
      <c r="L29" s="39"/>
      <c r="M29" s="140" t="s">
        <v>127</v>
      </c>
      <c r="N29" s="47" t="s">
        <v>350</v>
      </c>
      <c r="O29" s="47" t="s">
        <v>350</v>
      </c>
      <c r="P29" s="39"/>
      <c r="Q29" s="47" t="s">
        <v>913</v>
      </c>
      <c r="R29" s="140" t="s">
        <v>913</v>
      </c>
      <c r="S29" s="47" t="s">
        <v>901</v>
      </c>
      <c r="T29" s="39"/>
      <c r="U29" s="40">
        <v>720</v>
      </c>
      <c r="V29" s="38" t="str">
        <f>"484,1280"</f>
        <v>484,1280</v>
      </c>
      <c r="W29" s="18" t="s">
        <v>1945</v>
      </c>
    </row>
    <row r="30" spans="1:23" ht="12.75">
      <c r="A30" s="29">
        <v>2</v>
      </c>
      <c r="B30" s="410">
        <v>9</v>
      </c>
      <c r="C30" s="18" t="s">
        <v>4468</v>
      </c>
      <c r="D30" s="18" t="s">
        <v>1217</v>
      </c>
      <c r="E30" s="18" t="s">
        <v>1919</v>
      </c>
      <c r="F30" s="18" t="str">
        <f>"0,6951"</f>
        <v>0,6951</v>
      </c>
      <c r="G30" s="18" t="s">
        <v>54</v>
      </c>
      <c r="H30" s="18" t="s">
        <v>1218</v>
      </c>
      <c r="I30" s="140" t="s">
        <v>108</v>
      </c>
      <c r="J30" s="47" t="s">
        <v>190</v>
      </c>
      <c r="K30" s="47" t="s">
        <v>190</v>
      </c>
      <c r="L30" s="39"/>
      <c r="M30" s="140" t="s">
        <v>88</v>
      </c>
      <c r="N30" s="47" t="s">
        <v>447</v>
      </c>
      <c r="O30" s="47" t="s">
        <v>447</v>
      </c>
      <c r="P30" s="39"/>
      <c r="Q30" s="140" t="s">
        <v>192</v>
      </c>
      <c r="R30" s="140" t="s">
        <v>245</v>
      </c>
      <c r="S30" s="140" t="s">
        <v>239</v>
      </c>
      <c r="T30" s="39"/>
      <c r="U30" s="40">
        <v>545</v>
      </c>
      <c r="V30" s="38" t="str">
        <f>"378,8295"</f>
        <v>378,8295</v>
      </c>
      <c r="W30" s="18" t="s">
        <v>51</v>
      </c>
    </row>
    <row r="31" spans="3:23" ht="12.75">
      <c r="C31" s="19" t="s">
        <v>1219</v>
      </c>
      <c r="D31" s="19" t="s">
        <v>1220</v>
      </c>
      <c r="E31" s="19" t="s">
        <v>1634</v>
      </c>
      <c r="F31" s="19" t="str">
        <f>"0,6785"</f>
        <v>0,6785</v>
      </c>
      <c r="G31" s="19" t="s">
        <v>31</v>
      </c>
      <c r="H31" s="19" t="s">
        <v>1221</v>
      </c>
      <c r="I31" s="48" t="s">
        <v>238</v>
      </c>
      <c r="J31" s="48" t="s">
        <v>239</v>
      </c>
      <c r="K31" s="48" t="s">
        <v>239</v>
      </c>
      <c r="L31" s="42"/>
      <c r="M31" s="42"/>
      <c r="N31" s="42"/>
      <c r="O31" s="42"/>
      <c r="P31" s="42"/>
      <c r="Q31" s="42"/>
      <c r="R31" s="42"/>
      <c r="S31" s="42"/>
      <c r="T31" s="42"/>
      <c r="U31" s="51">
        <v>0</v>
      </c>
      <c r="V31" s="41" t="s">
        <v>1639</v>
      </c>
      <c r="W31" s="19" t="s">
        <v>51</v>
      </c>
    </row>
    <row r="33" spans="3:22" ht="15.75">
      <c r="C33" s="508" t="s">
        <v>59</v>
      </c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508"/>
      <c r="O33" s="508"/>
      <c r="P33" s="508"/>
      <c r="Q33" s="508"/>
      <c r="R33" s="508"/>
      <c r="S33" s="508"/>
      <c r="T33" s="508"/>
      <c r="U33" s="508"/>
      <c r="V33" s="508"/>
    </row>
    <row r="34" spans="1:23" ht="12.75">
      <c r="A34" s="29">
        <v>1</v>
      </c>
      <c r="C34" s="17" t="s">
        <v>4469</v>
      </c>
      <c r="D34" s="17" t="s">
        <v>1223</v>
      </c>
      <c r="E34" s="17" t="s">
        <v>1677</v>
      </c>
      <c r="F34" s="17" t="str">
        <f>"0,6410"</f>
        <v>0,6410</v>
      </c>
      <c r="G34" s="17" t="s">
        <v>31</v>
      </c>
      <c r="H34" s="17" t="s">
        <v>2237</v>
      </c>
      <c r="I34" s="138" t="s">
        <v>341</v>
      </c>
      <c r="J34" s="138" t="s">
        <v>1043</v>
      </c>
      <c r="K34" s="138" t="s">
        <v>990</v>
      </c>
      <c r="L34" s="36"/>
      <c r="M34" s="46" t="s">
        <v>153</v>
      </c>
      <c r="N34" s="138" t="s">
        <v>153</v>
      </c>
      <c r="O34" s="138" t="s">
        <v>127</v>
      </c>
      <c r="P34" s="36"/>
      <c r="Q34" s="138" t="s">
        <v>845</v>
      </c>
      <c r="R34" s="138" t="s">
        <v>846</v>
      </c>
      <c r="S34" s="138" t="s">
        <v>847</v>
      </c>
      <c r="T34" s="36"/>
      <c r="U34" s="44">
        <v>760</v>
      </c>
      <c r="V34" s="35" t="str">
        <f>"487,1600"</f>
        <v>487,1600</v>
      </c>
      <c r="W34" s="17" t="s">
        <v>1946</v>
      </c>
    </row>
    <row r="35" spans="1:23" ht="12.75">
      <c r="A35" s="29">
        <v>2</v>
      </c>
      <c r="C35" s="18" t="s">
        <v>4470</v>
      </c>
      <c r="D35" s="18" t="s">
        <v>1224</v>
      </c>
      <c r="E35" s="18" t="s">
        <v>1920</v>
      </c>
      <c r="F35" s="18" t="str">
        <f>"0,6398"</f>
        <v>0,6398</v>
      </c>
      <c r="G35" s="18" t="s">
        <v>31</v>
      </c>
      <c r="H35" s="18" t="s">
        <v>1225</v>
      </c>
      <c r="I35" s="140" t="s">
        <v>237</v>
      </c>
      <c r="J35" s="140" t="s">
        <v>238</v>
      </c>
      <c r="K35" s="140" t="s">
        <v>317</v>
      </c>
      <c r="L35" s="39"/>
      <c r="M35" s="140" t="s">
        <v>131</v>
      </c>
      <c r="N35" s="140" t="s">
        <v>297</v>
      </c>
      <c r="O35" s="140" t="s">
        <v>63</v>
      </c>
      <c r="P35" s="39"/>
      <c r="Q35" s="47" t="s">
        <v>1140</v>
      </c>
      <c r="R35" s="140" t="s">
        <v>1140</v>
      </c>
      <c r="S35" s="47" t="s">
        <v>341</v>
      </c>
      <c r="T35" s="39"/>
      <c r="U35" s="40">
        <v>652.5</v>
      </c>
      <c r="V35" s="38" t="str">
        <f>"417,4695"</f>
        <v>417,4695</v>
      </c>
      <c r="W35" s="18" t="s">
        <v>51</v>
      </c>
    </row>
    <row r="36" spans="1:23" ht="12.75">
      <c r="A36" s="29">
        <v>3</v>
      </c>
      <c r="C36" s="18" t="s">
        <v>4471</v>
      </c>
      <c r="D36" s="18" t="s">
        <v>1226</v>
      </c>
      <c r="E36" s="18" t="s">
        <v>1921</v>
      </c>
      <c r="F36" s="18" t="str">
        <f>"0,6519"</f>
        <v>0,6519</v>
      </c>
      <c r="G36" s="18" t="s">
        <v>31</v>
      </c>
      <c r="H36" s="18" t="s">
        <v>1227</v>
      </c>
      <c r="I36" s="140" t="s">
        <v>190</v>
      </c>
      <c r="J36" s="140" t="s">
        <v>192</v>
      </c>
      <c r="K36" s="140" t="s">
        <v>237</v>
      </c>
      <c r="L36" s="39"/>
      <c r="M36" s="47" t="s">
        <v>89</v>
      </c>
      <c r="N36" s="140" t="s">
        <v>551</v>
      </c>
      <c r="O36" s="140" t="s">
        <v>480</v>
      </c>
      <c r="P36" s="39"/>
      <c r="Q36" s="140" t="s">
        <v>341</v>
      </c>
      <c r="R36" s="47" t="s">
        <v>913</v>
      </c>
      <c r="S36" s="47" t="s">
        <v>913</v>
      </c>
      <c r="T36" s="39"/>
      <c r="U36" s="40">
        <v>630</v>
      </c>
      <c r="V36" s="38" t="str">
        <f>"410,6970"</f>
        <v>410,6970</v>
      </c>
      <c r="W36" s="18" t="s">
        <v>51</v>
      </c>
    </row>
    <row r="37" spans="1:23" ht="12.75">
      <c r="A37" s="29">
        <v>4</v>
      </c>
      <c r="B37" s="410">
        <v>7</v>
      </c>
      <c r="C37" s="18" t="s">
        <v>4472</v>
      </c>
      <c r="D37" s="18" t="s">
        <v>1228</v>
      </c>
      <c r="E37" s="18" t="s">
        <v>1897</v>
      </c>
      <c r="F37" s="18" t="str">
        <f>"0,6495"</f>
        <v>0,6495</v>
      </c>
      <c r="G37" s="18" t="s">
        <v>54</v>
      </c>
      <c r="H37" s="18" t="s">
        <v>1941</v>
      </c>
      <c r="I37" s="47" t="s">
        <v>190</v>
      </c>
      <c r="J37" s="140" t="s">
        <v>190</v>
      </c>
      <c r="K37" s="47" t="s">
        <v>192</v>
      </c>
      <c r="L37" s="39"/>
      <c r="M37" s="140" t="s">
        <v>447</v>
      </c>
      <c r="N37" s="140" t="s">
        <v>101</v>
      </c>
      <c r="O37" s="47" t="s">
        <v>598</v>
      </c>
      <c r="P37" s="39"/>
      <c r="Q37" s="140" t="s">
        <v>191</v>
      </c>
      <c r="R37" s="140" t="s">
        <v>237</v>
      </c>
      <c r="S37" s="47" t="s">
        <v>238</v>
      </c>
      <c r="T37" s="39"/>
      <c r="U37" s="40">
        <v>552.5</v>
      </c>
      <c r="V37" s="38" t="str">
        <f>"358,8488"</f>
        <v>358,8488</v>
      </c>
      <c r="W37" s="18" t="s">
        <v>51</v>
      </c>
    </row>
    <row r="38" spans="1:23" ht="12.75">
      <c r="A38" s="29">
        <v>5</v>
      </c>
      <c r="B38" s="410">
        <v>6</v>
      </c>
      <c r="C38" s="18" t="s">
        <v>4700</v>
      </c>
      <c r="D38" s="18" t="s">
        <v>1229</v>
      </c>
      <c r="E38" s="18" t="s">
        <v>1922</v>
      </c>
      <c r="F38" s="18" t="str">
        <f>"0,6619"</f>
        <v>0,6619</v>
      </c>
      <c r="G38" s="18" t="s">
        <v>125</v>
      </c>
      <c r="H38" s="18" t="s">
        <v>1230</v>
      </c>
      <c r="I38" s="140" t="s">
        <v>190</v>
      </c>
      <c r="J38" s="47" t="s">
        <v>202</v>
      </c>
      <c r="K38" s="47" t="s">
        <v>202</v>
      </c>
      <c r="L38" s="39"/>
      <c r="M38" s="140" t="s">
        <v>446</v>
      </c>
      <c r="N38" s="47" t="s">
        <v>88</v>
      </c>
      <c r="O38" s="47" t="s">
        <v>88</v>
      </c>
      <c r="P38" s="39"/>
      <c r="Q38" s="140" t="s">
        <v>191</v>
      </c>
      <c r="R38" s="140" t="s">
        <v>237</v>
      </c>
      <c r="S38" s="47" t="s">
        <v>245</v>
      </c>
      <c r="T38" s="39"/>
      <c r="U38" s="40">
        <v>535</v>
      </c>
      <c r="V38" s="38" t="s">
        <v>2233</v>
      </c>
      <c r="W38" s="18" t="s">
        <v>1947</v>
      </c>
    </row>
    <row r="39" spans="1:23" ht="12.75">
      <c r="A39" s="29">
        <v>1</v>
      </c>
      <c r="C39" s="18" t="s">
        <v>4473</v>
      </c>
      <c r="D39" s="18" t="s">
        <v>1231</v>
      </c>
      <c r="E39" s="18" t="s">
        <v>1923</v>
      </c>
      <c r="F39" s="18" t="str">
        <f>"0,6440"</f>
        <v>0,6440</v>
      </c>
      <c r="G39" s="18" t="s">
        <v>31</v>
      </c>
      <c r="H39" s="18" t="s">
        <v>222</v>
      </c>
      <c r="I39" s="140" t="s">
        <v>190</v>
      </c>
      <c r="J39" s="140" t="s">
        <v>237</v>
      </c>
      <c r="K39" s="47" t="s">
        <v>238</v>
      </c>
      <c r="L39" s="39"/>
      <c r="M39" s="140" t="s">
        <v>480</v>
      </c>
      <c r="N39" s="47" t="s">
        <v>132</v>
      </c>
      <c r="O39" s="47" t="s">
        <v>132</v>
      </c>
      <c r="P39" s="39"/>
      <c r="Q39" s="140" t="s">
        <v>237</v>
      </c>
      <c r="R39" s="47" t="s">
        <v>238</v>
      </c>
      <c r="S39" s="140" t="s">
        <v>317</v>
      </c>
      <c r="T39" s="39"/>
      <c r="U39" s="40">
        <v>600</v>
      </c>
      <c r="V39" s="38" t="str">
        <f>"388,3320"</f>
        <v>388,3320</v>
      </c>
      <c r="W39" s="18" t="s">
        <v>51</v>
      </c>
    </row>
    <row r="40" spans="1:23" ht="12.75">
      <c r="A40" s="29">
        <v>1</v>
      </c>
      <c r="C40" s="19" t="s">
        <v>4474</v>
      </c>
      <c r="D40" s="19" t="s">
        <v>1232</v>
      </c>
      <c r="E40" s="19" t="s">
        <v>1924</v>
      </c>
      <c r="F40" s="19" t="str">
        <f>"0,6675"</f>
        <v>0,6675</v>
      </c>
      <c r="G40" s="19" t="s">
        <v>31</v>
      </c>
      <c r="H40" s="19" t="s">
        <v>1903</v>
      </c>
      <c r="I40" s="139" t="s">
        <v>153</v>
      </c>
      <c r="J40" s="48" t="s">
        <v>127</v>
      </c>
      <c r="K40" s="139" t="s">
        <v>108</v>
      </c>
      <c r="L40" s="42"/>
      <c r="M40" s="139" t="s">
        <v>89</v>
      </c>
      <c r="N40" s="139" t="s">
        <v>480</v>
      </c>
      <c r="O40" s="139" t="s">
        <v>811</v>
      </c>
      <c r="P40" s="42"/>
      <c r="Q40" s="139" t="s">
        <v>108</v>
      </c>
      <c r="R40" s="48" t="s">
        <v>190</v>
      </c>
      <c r="S40" s="139" t="s">
        <v>190</v>
      </c>
      <c r="T40" s="42"/>
      <c r="U40" s="43">
        <v>537.5</v>
      </c>
      <c r="V40" s="41" t="str">
        <f>"380,3081"</f>
        <v>380,3081</v>
      </c>
      <c r="W40" s="19" t="s">
        <v>1948</v>
      </c>
    </row>
    <row r="42" spans="3:22" ht="15.75">
      <c r="C42" s="508" t="s">
        <v>164</v>
      </c>
      <c r="D42" s="508"/>
      <c r="E42" s="508"/>
      <c r="F42" s="508"/>
      <c r="G42" s="508"/>
      <c r="H42" s="508"/>
      <c r="I42" s="508"/>
      <c r="J42" s="508"/>
      <c r="K42" s="508"/>
      <c r="L42" s="508"/>
      <c r="M42" s="508"/>
      <c r="N42" s="508"/>
      <c r="O42" s="508"/>
      <c r="P42" s="508"/>
      <c r="Q42" s="508"/>
      <c r="R42" s="508"/>
      <c r="S42" s="508"/>
      <c r="T42" s="508"/>
      <c r="U42" s="508"/>
      <c r="V42" s="508"/>
    </row>
    <row r="43" spans="1:23" ht="12.75">
      <c r="A43" s="29">
        <v>1</v>
      </c>
      <c r="C43" s="17" t="s">
        <v>4475</v>
      </c>
      <c r="D43" s="17" t="s">
        <v>1233</v>
      </c>
      <c r="E43" s="17" t="s">
        <v>1860</v>
      </c>
      <c r="F43" s="17" t="str">
        <f>"0,6232"</f>
        <v>0,6232</v>
      </c>
      <c r="G43" s="17" t="s">
        <v>31</v>
      </c>
      <c r="H43" s="17" t="s">
        <v>1903</v>
      </c>
      <c r="I43" s="138" t="s">
        <v>108</v>
      </c>
      <c r="J43" s="138" t="s">
        <v>190</v>
      </c>
      <c r="K43" s="46" t="s">
        <v>191</v>
      </c>
      <c r="L43" s="36"/>
      <c r="M43" s="138" t="s">
        <v>447</v>
      </c>
      <c r="N43" s="138" t="s">
        <v>89</v>
      </c>
      <c r="O43" s="46" t="s">
        <v>480</v>
      </c>
      <c r="P43" s="36"/>
      <c r="Q43" s="138" t="s">
        <v>127</v>
      </c>
      <c r="R43" s="138" t="s">
        <v>120</v>
      </c>
      <c r="S43" s="138" t="s">
        <v>191</v>
      </c>
      <c r="T43" s="36"/>
      <c r="U43" s="44">
        <v>540</v>
      </c>
      <c r="V43" s="35" t="str">
        <f>"336,5280"</f>
        <v>336,5280</v>
      </c>
      <c r="W43" s="17" t="s">
        <v>51</v>
      </c>
    </row>
    <row r="44" spans="1:23" ht="12.75">
      <c r="A44" s="29">
        <v>1</v>
      </c>
      <c r="C44" s="18" t="s">
        <v>4476</v>
      </c>
      <c r="D44" s="18" t="s">
        <v>842</v>
      </c>
      <c r="E44" s="18" t="s">
        <v>1925</v>
      </c>
      <c r="F44" s="18" t="str">
        <f>"0,6098"</f>
        <v>0,6098</v>
      </c>
      <c r="G44" s="18" t="s">
        <v>31</v>
      </c>
      <c r="H44" s="18" t="s">
        <v>105</v>
      </c>
      <c r="I44" s="140" t="s">
        <v>845</v>
      </c>
      <c r="J44" s="140" t="s">
        <v>846</v>
      </c>
      <c r="K44" s="140" t="s">
        <v>901</v>
      </c>
      <c r="L44" s="39"/>
      <c r="M44" s="140" t="s">
        <v>64</v>
      </c>
      <c r="N44" s="140" t="s">
        <v>153</v>
      </c>
      <c r="O44" s="140" t="s">
        <v>127</v>
      </c>
      <c r="P44" s="39"/>
      <c r="Q44" s="140" t="s">
        <v>913</v>
      </c>
      <c r="R44" s="140" t="s">
        <v>1029</v>
      </c>
      <c r="S44" s="47" t="s">
        <v>869</v>
      </c>
      <c r="T44" s="39"/>
      <c r="U44" s="40">
        <v>772.5</v>
      </c>
      <c r="V44" s="38" t="str">
        <f>"471,0705"</f>
        <v>471,0705</v>
      </c>
      <c r="W44" s="18" t="s">
        <v>1842</v>
      </c>
    </row>
    <row r="45" spans="1:23" ht="12.75">
      <c r="A45" s="29">
        <v>2</v>
      </c>
      <c r="C45" s="18" t="s">
        <v>4477</v>
      </c>
      <c r="D45" s="18" t="s">
        <v>1234</v>
      </c>
      <c r="E45" s="18" t="s">
        <v>1926</v>
      </c>
      <c r="F45" s="18" t="str">
        <f>"0,6282"</f>
        <v>0,6282</v>
      </c>
      <c r="G45" s="18" t="s">
        <v>31</v>
      </c>
      <c r="H45" s="18" t="s">
        <v>38</v>
      </c>
      <c r="I45" s="140" t="s">
        <v>120</v>
      </c>
      <c r="J45" s="47" t="s">
        <v>202</v>
      </c>
      <c r="K45" s="140" t="s">
        <v>202</v>
      </c>
      <c r="L45" s="39"/>
      <c r="M45" s="140" t="s">
        <v>447</v>
      </c>
      <c r="N45" s="140" t="s">
        <v>551</v>
      </c>
      <c r="O45" s="47" t="s">
        <v>480</v>
      </c>
      <c r="P45" s="39"/>
      <c r="Q45" s="140" t="s">
        <v>121</v>
      </c>
      <c r="R45" s="140" t="s">
        <v>192</v>
      </c>
      <c r="S45" s="140" t="s">
        <v>237</v>
      </c>
      <c r="T45" s="39"/>
      <c r="U45" s="40">
        <v>562.5</v>
      </c>
      <c r="V45" s="38" t="str">
        <f>"353,3625"</f>
        <v>353,3625</v>
      </c>
      <c r="W45" s="18" t="s">
        <v>1949</v>
      </c>
    </row>
    <row r="46" spans="1:23" ht="12.75">
      <c r="A46" s="29">
        <v>3</v>
      </c>
      <c r="C46" s="18" t="s">
        <v>4478</v>
      </c>
      <c r="D46" s="18" t="s">
        <v>1235</v>
      </c>
      <c r="E46" s="18" t="s">
        <v>1927</v>
      </c>
      <c r="F46" s="18" t="str">
        <f>"0,6188"</f>
        <v>0,6188</v>
      </c>
      <c r="G46" s="18" t="s">
        <v>31</v>
      </c>
      <c r="H46" s="18" t="s">
        <v>1903</v>
      </c>
      <c r="I46" s="47" t="s">
        <v>153</v>
      </c>
      <c r="J46" s="47" t="s">
        <v>153</v>
      </c>
      <c r="K46" s="140" t="s">
        <v>153</v>
      </c>
      <c r="L46" s="39"/>
      <c r="M46" s="47" t="s">
        <v>447</v>
      </c>
      <c r="N46" s="140" t="s">
        <v>89</v>
      </c>
      <c r="O46" s="140" t="s">
        <v>551</v>
      </c>
      <c r="P46" s="39"/>
      <c r="Q46" s="47" t="s">
        <v>153</v>
      </c>
      <c r="R46" s="140" t="s">
        <v>153</v>
      </c>
      <c r="S46" s="47" t="s">
        <v>108</v>
      </c>
      <c r="T46" s="39"/>
      <c r="U46" s="40">
        <v>475</v>
      </c>
      <c r="V46" s="38" t="str">
        <f>"293,9300"</f>
        <v>293,9300</v>
      </c>
      <c r="W46" s="18" t="s">
        <v>1950</v>
      </c>
    </row>
    <row r="47" spans="1:23" ht="12.75">
      <c r="A47" s="29">
        <v>4</v>
      </c>
      <c r="C47" s="18" t="s">
        <v>4701</v>
      </c>
      <c r="D47" s="18" t="s">
        <v>1126</v>
      </c>
      <c r="E47" s="18" t="s">
        <v>1859</v>
      </c>
      <c r="F47" s="18" t="str">
        <f>"0,6139"</f>
        <v>0,6139</v>
      </c>
      <c r="G47" s="18" t="s">
        <v>31</v>
      </c>
      <c r="H47" s="18" t="s">
        <v>1903</v>
      </c>
      <c r="I47" s="140" t="s">
        <v>238</v>
      </c>
      <c r="J47" s="47" t="s">
        <v>884</v>
      </c>
      <c r="K47" s="47" t="s">
        <v>884</v>
      </c>
      <c r="L47" s="39"/>
      <c r="M47" s="140" t="s">
        <v>551</v>
      </c>
      <c r="N47" s="140" t="s">
        <v>131</v>
      </c>
      <c r="O47" s="140" t="s">
        <v>63</v>
      </c>
      <c r="P47" s="39"/>
      <c r="Q47" s="140" t="s">
        <v>319</v>
      </c>
      <c r="R47" s="140" t="s">
        <v>913</v>
      </c>
      <c r="S47" s="47" t="s">
        <v>860</v>
      </c>
      <c r="T47" s="39"/>
      <c r="U47" s="40">
        <v>665</v>
      </c>
      <c r="V47" s="38" t="s">
        <v>4493</v>
      </c>
      <c r="W47" s="18" t="s">
        <v>51</v>
      </c>
    </row>
    <row r="48" spans="1:23" ht="12.75">
      <c r="A48" s="29">
        <v>1</v>
      </c>
      <c r="C48" s="18" t="s">
        <v>4479</v>
      </c>
      <c r="D48" s="18" t="s">
        <v>223</v>
      </c>
      <c r="E48" s="18" t="s">
        <v>1732</v>
      </c>
      <c r="F48" s="18" t="str">
        <f>"0,6118"</f>
        <v>0,6118</v>
      </c>
      <c r="G48" s="18" t="s">
        <v>209</v>
      </c>
      <c r="H48" s="18" t="s">
        <v>2246</v>
      </c>
      <c r="I48" s="140" t="s">
        <v>192</v>
      </c>
      <c r="J48" s="140" t="s">
        <v>238</v>
      </c>
      <c r="K48" s="47" t="s">
        <v>319</v>
      </c>
      <c r="L48" s="39"/>
      <c r="M48" s="140" t="s">
        <v>108</v>
      </c>
      <c r="N48" s="47" t="s">
        <v>120</v>
      </c>
      <c r="O48" s="47" t="s">
        <v>120</v>
      </c>
      <c r="P48" s="39"/>
      <c r="Q48" s="140" t="s">
        <v>238</v>
      </c>
      <c r="R48" s="140" t="s">
        <v>317</v>
      </c>
      <c r="S48" s="140" t="s">
        <v>319</v>
      </c>
      <c r="T48" s="47" t="s">
        <v>884</v>
      </c>
      <c r="U48" s="40">
        <v>670</v>
      </c>
      <c r="V48" s="38" t="str">
        <f>"449,2570"</f>
        <v>449,2570</v>
      </c>
      <c r="W48" s="18" t="s">
        <v>51</v>
      </c>
    </row>
    <row r="49" spans="1:23" ht="12.75">
      <c r="A49" s="29">
        <v>1</v>
      </c>
      <c r="B49" s="410">
        <v>12</v>
      </c>
      <c r="C49" s="19" t="s">
        <v>4480</v>
      </c>
      <c r="D49" s="19" t="s">
        <v>1236</v>
      </c>
      <c r="E49" s="19" t="s">
        <v>1928</v>
      </c>
      <c r="F49" s="19" t="str">
        <f>"0,6155"</f>
        <v>0,6155</v>
      </c>
      <c r="G49" s="19" t="s">
        <v>125</v>
      </c>
      <c r="H49" s="19" t="s">
        <v>1903</v>
      </c>
      <c r="I49" s="139" t="s">
        <v>175</v>
      </c>
      <c r="J49" s="139" t="s">
        <v>190</v>
      </c>
      <c r="K49" s="48" t="s">
        <v>191</v>
      </c>
      <c r="L49" s="42"/>
      <c r="M49" s="139" t="s">
        <v>88</v>
      </c>
      <c r="N49" s="139" t="s">
        <v>447</v>
      </c>
      <c r="O49" s="48" t="s">
        <v>89</v>
      </c>
      <c r="P49" s="42"/>
      <c r="Q49" s="139" t="s">
        <v>175</v>
      </c>
      <c r="R49" s="139" t="s">
        <v>190</v>
      </c>
      <c r="S49" s="139" t="s">
        <v>191</v>
      </c>
      <c r="T49" s="42"/>
      <c r="U49" s="43">
        <v>535</v>
      </c>
      <c r="V49" s="41" t="str">
        <f>"390,8702"</f>
        <v>390,8702</v>
      </c>
      <c r="W49" s="19" t="s">
        <v>2248</v>
      </c>
    </row>
    <row r="51" spans="3:22" ht="15.75">
      <c r="C51" s="508" t="s">
        <v>227</v>
      </c>
      <c r="D51" s="508"/>
      <c r="E51" s="508"/>
      <c r="F51" s="508"/>
      <c r="G51" s="508"/>
      <c r="H51" s="508"/>
      <c r="I51" s="508"/>
      <c r="J51" s="508"/>
      <c r="K51" s="508"/>
      <c r="L51" s="508"/>
      <c r="M51" s="508"/>
      <c r="N51" s="508"/>
      <c r="O51" s="508"/>
      <c r="P51" s="508"/>
      <c r="Q51" s="508"/>
      <c r="R51" s="508"/>
      <c r="S51" s="508"/>
      <c r="T51" s="508"/>
      <c r="U51" s="508"/>
      <c r="V51" s="508"/>
    </row>
    <row r="52" spans="1:23" ht="12.75">
      <c r="A52" s="29">
        <v>1</v>
      </c>
      <c r="C52" s="17" t="s">
        <v>4481</v>
      </c>
      <c r="D52" s="17" t="s">
        <v>1237</v>
      </c>
      <c r="E52" s="17" t="s">
        <v>1929</v>
      </c>
      <c r="F52" s="17" t="str">
        <f>"0,6067"</f>
        <v>0,6067</v>
      </c>
      <c r="G52" s="17" t="s">
        <v>31</v>
      </c>
      <c r="H52" s="17" t="s">
        <v>201</v>
      </c>
      <c r="I52" s="138" t="s">
        <v>64</v>
      </c>
      <c r="J52" s="138" t="s">
        <v>153</v>
      </c>
      <c r="K52" s="46" t="s">
        <v>269</v>
      </c>
      <c r="L52" s="36"/>
      <c r="M52" s="138" t="s">
        <v>89</v>
      </c>
      <c r="N52" s="138" t="s">
        <v>551</v>
      </c>
      <c r="O52" s="138" t="s">
        <v>136</v>
      </c>
      <c r="P52" s="138" t="s">
        <v>131</v>
      </c>
      <c r="Q52" s="138" t="s">
        <v>175</v>
      </c>
      <c r="R52" s="138" t="s">
        <v>635</v>
      </c>
      <c r="S52" s="46" t="s">
        <v>176</v>
      </c>
      <c r="T52" s="36"/>
      <c r="U52" s="44">
        <v>500</v>
      </c>
      <c r="V52" s="35" t="str">
        <f>"303,3500"</f>
        <v>303,3500</v>
      </c>
      <c r="W52" s="17" t="s">
        <v>51</v>
      </c>
    </row>
    <row r="53" spans="1:23" ht="12.75">
      <c r="A53" s="29">
        <v>1</v>
      </c>
      <c r="C53" s="18" t="s">
        <v>4482</v>
      </c>
      <c r="D53" s="18" t="s">
        <v>1239</v>
      </c>
      <c r="E53" s="18" t="s">
        <v>1930</v>
      </c>
      <c r="F53" s="18" t="str">
        <f>"0,6019"</f>
        <v>0,6019</v>
      </c>
      <c r="G53" s="18" t="s">
        <v>31</v>
      </c>
      <c r="H53" s="18" t="s">
        <v>1903</v>
      </c>
      <c r="I53" s="47" t="s">
        <v>319</v>
      </c>
      <c r="J53" s="140" t="s">
        <v>319</v>
      </c>
      <c r="K53" s="47" t="s">
        <v>341</v>
      </c>
      <c r="L53" s="39"/>
      <c r="M53" s="140" t="s">
        <v>153</v>
      </c>
      <c r="N53" s="140" t="s">
        <v>127</v>
      </c>
      <c r="O53" s="47" t="s">
        <v>175</v>
      </c>
      <c r="P53" s="39"/>
      <c r="Q53" s="140" t="s">
        <v>319</v>
      </c>
      <c r="R53" s="47" t="s">
        <v>845</v>
      </c>
      <c r="S53" s="140" t="s">
        <v>845</v>
      </c>
      <c r="T53" s="39"/>
      <c r="U53" s="40">
        <v>690</v>
      </c>
      <c r="V53" s="38" t="str">
        <f>"415,3110"</f>
        <v>415,3110</v>
      </c>
      <c r="W53" s="18" t="s">
        <v>51</v>
      </c>
    </row>
    <row r="54" spans="1:23" ht="12.75">
      <c r="A54" s="29">
        <v>1</v>
      </c>
      <c r="C54" s="18" t="s">
        <v>4483</v>
      </c>
      <c r="D54" s="18" t="s">
        <v>1241</v>
      </c>
      <c r="E54" s="18" t="s">
        <v>1931</v>
      </c>
      <c r="F54" s="18" t="str">
        <f>"0,5898"</f>
        <v>0,5898</v>
      </c>
      <c r="G54" s="18" t="s">
        <v>31</v>
      </c>
      <c r="H54" s="18" t="s">
        <v>1903</v>
      </c>
      <c r="I54" s="47" t="s">
        <v>990</v>
      </c>
      <c r="J54" s="47" t="s">
        <v>990</v>
      </c>
      <c r="K54" s="140" t="s">
        <v>990</v>
      </c>
      <c r="L54" s="140" t="s">
        <v>1150</v>
      </c>
      <c r="M54" s="140" t="s">
        <v>121</v>
      </c>
      <c r="N54" s="140" t="s">
        <v>192</v>
      </c>
      <c r="O54" s="140" t="s">
        <v>253</v>
      </c>
      <c r="P54" s="47" t="s">
        <v>312</v>
      </c>
      <c r="Q54" s="140" t="s">
        <v>990</v>
      </c>
      <c r="R54" s="140" t="s">
        <v>834</v>
      </c>
      <c r="S54" s="140" t="s">
        <v>835</v>
      </c>
      <c r="T54" s="140" t="s">
        <v>1150</v>
      </c>
      <c r="U54" s="40">
        <v>832.5</v>
      </c>
      <c r="V54" s="38" t="str">
        <f>"491,0085"</f>
        <v>491,0085</v>
      </c>
      <c r="W54" s="18" t="s">
        <v>51</v>
      </c>
    </row>
    <row r="55" spans="1:23" ht="12.75">
      <c r="A55" s="29">
        <v>2</v>
      </c>
      <c r="C55" s="18" t="s">
        <v>4214</v>
      </c>
      <c r="D55" s="18" t="s">
        <v>1242</v>
      </c>
      <c r="E55" s="18" t="s">
        <v>1870</v>
      </c>
      <c r="F55" s="18" t="str">
        <f>"0,5948"</f>
        <v>0,5948</v>
      </c>
      <c r="G55" s="18" t="s">
        <v>31</v>
      </c>
      <c r="H55" s="18" t="s">
        <v>1243</v>
      </c>
      <c r="I55" s="47" t="s">
        <v>901</v>
      </c>
      <c r="J55" s="140" t="s">
        <v>901</v>
      </c>
      <c r="K55" s="47" t="s">
        <v>860</v>
      </c>
      <c r="L55" s="39"/>
      <c r="M55" s="140" t="s">
        <v>127</v>
      </c>
      <c r="N55" s="140" t="s">
        <v>108</v>
      </c>
      <c r="O55" s="140" t="s">
        <v>190</v>
      </c>
      <c r="P55" s="39"/>
      <c r="Q55" s="140" t="s">
        <v>901</v>
      </c>
      <c r="R55" s="47" t="s">
        <v>860</v>
      </c>
      <c r="S55" s="47" t="s">
        <v>860</v>
      </c>
      <c r="T55" s="39"/>
      <c r="U55" s="40">
        <v>780</v>
      </c>
      <c r="V55" s="38" t="str">
        <f>"463,9440"</f>
        <v>463,9440</v>
      </c>
      <c r="W55" s="18" t="s">
        <v>51</v>
      </c>
    </row>
    <row r="56" spans="1:23" ht="12.75">
      <c r="A56" s="29">
        <v>3</v>
      </c>
      <c r="C56" s="18" t="s">
        <v>4484</v>
      </c>
      <c r="D56" s="18" t="s">
        <v>1244</v>
      </c>
      <c r="E56" s="18" t="s">
        <v>1932</v>
      </c>
      <c r="F56" s="18" t="str">
        <f>"0,5933"</f>
        <v>0,5933</v>
      </c>
      <c r="G56" s="18" t="s">
        <v>31</v>
      </c>
      <c r="H56" s="18" t="s">
        <v>1245</v>
      </c>
      <c r="I56" s="39" t="s">
        <v>341</v>
      </c>
      <c r="J56" s="140" t="s">
        <v>341</v>
      </c>
      <c r="K56" s="47" t="s">
        <v>901</v>
      </c>
      <c r="L56" s="39"/>
      <c r="M56" s="140" t="s">
        <v>153</v>
      </c>
      <c r="N56" s="140" t="s">
        <v>127</v>
      </c>
      <c r="O56" s="47" t="s">
        <v>635</v>
      </c>
      <c r="P56" s="39"/>
      <c r="Q56" s="47" t="s">
        <v>341</v>
      </c>
      <c r="R56" s="140" t="s">
        <v>847</v>
      </c>
      <c r="S56" s="47" t="s">
        <v>860</v>
      </c>
      <c r="T56" s="39"/>
      <c r="U56" s="40">
        <v>735</v>
      </c>
      <c r="V56" s="38" t="str">
        <f>"436,0755"</f>
        <v>436,0755</v>
      </c>
      <c r="W56" s="18" t="s">
        <v>1951</v>
      </c>
    </row>
    <row r="57" spans="1:23" ht="12.75">
      <c r="A57" s="29">
        <v>4</v>
      </c>
      <c r="C57" s="19" t="s">
        <v>4485</v>
      </c>
      <c r="D57" s="19" t="s">
        <v>1246</v>
      </c>
      <c r="E57" s="19" t="s">
        <v>1689</v>
      </c>
      <c r="F57" s="19" t="str">
        <f>"0,5946"</f>
        <v>0,5946</v>
      </c>
      <c r="G57" s="19" t="s">
        <v>31</v>
      </c>
      <c r="H57" s="19" t="s">
        <v>267</v>
      </c>
      <c r="I57" s="139" t="s">
        <v>317</v>
      </c>
      <c r="J57" s="139" t="s">
        <v>845</v>
      </c>
      <c r="K57" s="48" t="s">
        <v>913</v>
      </c>
      <c r="L57" s="42"/>
      <c r="M57" s="139" t="s">
        <v>153</v>
      </c>
      <c r="N57" s="48" t="s">
        <v>126</v>
      </c>
      <c r="O57" s="48" t="s">
        <v>126</v>
      </c>
      <c r="P57" s="42"/>
      <c r="Q57" s="139" t="s">
        <v>238</v>
      </c>
      <c r="R57" s="139" t="s">
        <v>317</v>
      </c>
      <c r="S57" s="48" t="s">
        <v>319</v>
      </c>
      <c r="T57" s="42"/>
      <c r="U57" s="43">
        <v>670</v>
      </c>
      <c r="V57" s="41" t="str">
        <f>"398,3820"</f>
        <v>398,3820</v>
      </c>
      <c r="W57" s="19" t="s">
        <v>51</v>
      </c>
    </row>
    <row r="59" spans="3:22" ht="15.75">
      <c r="C59" s="508" t="s">
        <v>304</v>
      </c>
      <c r="D59" s="508"/>
      <c r="E59" s="508"/>
      <c r="F59" s="508"/>
      <c r="G59" s="508"/>
      <c r="H59" s="508"/>
      <c r="I59" s="508"/>
      <c r="J59" s="508"/>
      <c r="K59" s="508"/>
      <c r="L59" s="508"/>
      <c r="M59" s="508"/>
      <c r="N59" s="508"/>
      <c r="O59" s="508"/>
      <c r="P59" s="508"/>
      <c r="Q59" s="508"/>
      <c r="R59" s="508"/>
      <c r="S59" s="508"/>
      <c r="T59" s="508"/>
      <c r="U59" s="508"/>
      <c r="V59" s="508"/>
    </row>
    <row r="60" spans="1:23" ht="12.75">
      <c r="A60" s="29">
        <v>1</v>
      </c>
      <c r="C60" s="17" t="s">
        <v>4486</v>
      </c>
      <c r="D60" s="17" t="s">
        <v>1248</v>
      </c>
      <c r="E60" s="17" t="s">
        <v>1933</v>
      </c>
      <c r="F60" s="17" t="str">
        <f>"0,5820"</f>
        <v>0,5820</v>
      </c>
      <c r="G60" s="17" t="s">
        <v>31</v>
      </c>
      <c r="H60" s="17" t="s">
        <v>168</v>
      </c>
      <c r="I60" s="46" t="s">
        <v>899</v>
      </c>
      <c r="J60" s="138" t="s">
        <v>899</v>
      </c>
      <c r="K60" s="46" t="s">
        <v>1249</v>
      </c>
      <c r="L60" s="36"/>
      <c r="M60" s="138" t="s">
        <v>183</v>
      </c>
      <c r="N60" s="138" t="s">
        <v>126</v>
      </c>
      <c r="O60" s="46" t="s">
        <v>350</v>
      </c>
      <c r="P60" s="36"/>
      <c r="Q60" s="138" t="s">
        <v>846</v>
      </c>
      <c r="R60" s="138" t="s">
        <v>847</v>
      </c>
      <c r="S60" s="138" t="s">
        <v>860</v>
      </c>
      <c r="T60" s="36"/>
      <c r="U60" s="44">
        <v>825</v>
      </c>
      <c r="V60" s="35" t="str">
        <f>"480,1500"</f>
        <v>480,1500</v>
      </c>
      <c r="W60" s="17" t="s">
        <v>1952</v>
      </c>
    </row>
    <row r="61" spans="1:23" ht="12.75">
      <c r="A61" s="29">
        <v>2</v>
      </c>
      <c r="B61" s="410">
        <v>9</v>
      </c>
      <c r="C61" s="18" t="s">
        <v>4487</v>
      </c>
      <c r="D61" s="18" t="s">
        <v>1251</v>
      </c>
      <c r="E61" s="18" t="s">
        <v>1934</v>
      </c>
      <c r="F61" s="18" t="str">
        <f>"0,5753"</f>
        <v>0,5753</v>
      </c>
      <c r="G61" s="18" t="s">
        <v>54</v>
      </c>
      <c r="H61" s="18" t="s">
        <v>1218</v>
      </c>
      <c r="I61" s="47" t="s">
        <v>341</v>
      </c>
      <c r="J61" s="47" t="s">
        <v>341</v>
      </c>
      <c r="K61" s="140" t="s">
        <v>341</v>
      </c>
      <c r="L61" s="39"/>
      <c r="M61" s="140" t="s">
        <v>64</v>
      </c>
      <c r="N61" s="140" t="s">
        <v>268</v>
      </c>
      <c r="O61" s="140" t="s">
        <v>153</v>
      </c>
      <c r="P61" s="39"/>
      <c r="Q61" s="140" t="s">
        <v>319</v>
      </c>
      <c r="R61" s="140" t="s">
        <v>992</v>
      </c>
      <c r="S61" s="140" t="s">
        <v>341</v>
      </c>
      <c r="T61" s="39"/>
      <c r="U61" s="40">
        <v>710</v>
      </c>
      <c r="V61" s="38" t="str">
        <f>"408,4630"</f>
        <v>408,4630</v>
      </c>
      <c r="W61" s="18" t="s">
        <v>51</v>
      </c>
    </row>
    <row r="62" spans="3:23" ht="12.75">
      <c r="C62" s="18" t="s">
        <v>1252</v>
      </c>
      <c r="D62" s="18" t="s">
        <v>1253</v>
      </c>
      <c r="E62" s="18" t="s">
        <v>1727</v>
      </c>
      <c r="F62" s="18" t="str">
        <f>"0,5786"</f>
        <v>0,5786</v>
      </c>
      <c r="G62" s="18" t="s">
        <v>22</v>
      </c>
      <c r="H62" s="18" t="s">
        <v>23</v>
      </c>
      <c r="I62" s="47" t="s">
        <v>860</v>
      </c>
      <c r="J62" s="47" t="s">
        <v>860</v>
      </c>
      <c r="K62" s="47" t="s">
        <v>860</v>
      </c>
      <c r="L62" s="39"/>
      <c r="M62" s="39"/>
      <c r="N62" s="39"/>
      <c r="O62" s="39"/>
      <c r="P62" s="39"/>
      <c r="Q62" s="39"/>
      <c r="R62" s="39"/>
      <c r="S62" s="39"/>
      <c r="T62" s="39"/>
      <c r="U62" s="52">
        <v>0</v>
      </c>
      <c r="V62" s="38" t="s">
        <v>1639</v>
      </c>
      <c r="W62" s="18" t="s">
        <v>2178</v>
      </c>
    </row>
    <row r="63" spans="1:23" ht="12.75">
      <c r="A63" s="29">
        <v>1</v>
      </c>
      <c r="C63" s="18" t="s">
        <v>4486</v>
      </c>
      <c r="D63" s="18" t="s">
        <v>1254</v>
      </c>
      <c r="E63" s="18" t="s">
        <v>1935</v>
      </c>
      <c r="F63" s="18" t="str">
        <f>"0,5708"</f>
        <v>0,5708</v>
      </c>
      <c r="G63" s="18" t="s">
        <v>31</v>
      </c>
      <c r="H63" s="18" t="s">
        <v>168</v>
      </c>
      <c r="I63" s="47" t="s">
        <v>899</v>
      </c>
      <c r="J63" s="140" t="s">
        <v>899</v>
      </c>
      <c r="K63" s="47" t="s">
        <v>1249</v>
      </c>
      <c r="L63" s="39"/>
      <c r="M63" s="140" t="s">
        <v>183</v>
      </c>
      <c r="N63" s="140" t="s">
        <v>126</v>
      </c>
      <c r="O63" s="39"/>
      <c r="P63" s="39"/>
      <c r="Q63" s="140" t="s">
        <v>846</v>
      </c>
      <c r="R63" s="140" t="s">
        <v>847</v>
      </c>
      <c r="S63" s="140" t="s">
        <v>860</v>
      </c>
      <c r="T63" s="39"/>
      <c r="U63" s="40">
        <v>825</v>
      </c>
      <c r="V63" s="38" t="str">
        <f>"470,9100"</f>
        <v>470,9100</v>
      </c>
      <c r="W63" s="18" t="s">
        <v>1952</v>
      </c>
    </row>
    <row r="64" spans="1:23" ht="12.75">
      <c r="A64" s="29">
        <v>2</v>
      </c>
      <c r="C64" s="18" t="s">
        <v>4435</v>
      </c>
      <c r="D64" s="18" t="s">
        <v>326</v>
      </c>
      <c r="E64" s="18" t="s">
        <v>1661</v>
      </c>
      <c r="F64" s="18" t="str">
        <f>"0,5757"</f>
        <v>0,5757</v>
      </c>
      <c r="G64" s="18" t="s">
        <v>209</v>
      </c>
      <c r="H64" s="18" t="s">
        <v>2130</v>
      </c>
      <c r="I64" s="140" t="s">
        <v>341</v>
      </c>
      <c r="J64" s="47" t="s">
        <v>860</v>
      </c>
      <c r="K64" s="140" t="s">
        <v>860</v>
      </c>
      <c r="L64" s="39"/>
      <c r="M64" s="140" t="s">
        <v>191</v>
      </c>
      <c r="N64" s="140" t="s">
        <v>237</v>
      </c>
      <c r="O64" s="47" t="s">
        <v>245</v>
      </c>
      <c r="P64" s="39"/>
      <c r="Q64" s="47" t="s">
        <v>913</v>
      </c>
      <c r="R64" s="140" t="s">
        <v>913</v>
      </c>
      <c r="S64" s="47" t="s">
        <v>1045</v>
      </c>
      <c r="T64" s="39"/>
      <c r="U64" s="40">
        <v>800</v>
      </c>
      <c r="V64" s="38" t="str">
        <f>"460,5600"</f>
        <v>460,5600</v>
      </c>
      <c r="W64" s="18" t="s">
        <v>2105</v>
      </c>
    </row>
    <row r="65" spans="1:23" ht="12.75">
      <c r="A65" s="29">
        <v>3</v>
      </c>
      <c r="C65" s="18" t="s">
        <v>4488</v>
      </c>
      <c r="D65" s="18" t="s">
        <v>1255</v>
      </c>
      <c r="E65" s="18" t="s">
        <v>1662</v>
      </c>
      <c r="F65" s="18" t="str">
        <f>"0,5785"</f>
        <v>0,5785</v>
      </c>
      <c r="G65" s="18" t="s">
        <v>209</v>
      </c>
      <c r="H65" s="18" t="s">
        <v>1942</v>
      </c>
      <c r="I65" s="140" t="s">
        <v>317</v>
      </c>
      <c r="J65" s="140" t="s">
        <v>319</v>
      </c>
      <c r="K65" s="47" t="s">
        <v>845</v>
      </c>
      <c r="L65" s="39"/>
      <c r="M65" s="140" t="s">
        <v>64</v>
      </c>
      <c r="N65" s="140" t="s">
        <v>153</v>
      </c>
      <c r="O65" s="47" t="s">
        <v>126</v>
      </c>
      <c r="P65" s="39"/>
      <c r="Q65" s="140" t="s">
        <v>901</v>
      </c>
      <c r="R65" s="140" t="s">
        <v>860</v>
      </c>
      <c r="S65" s="47" t="s">
        <v>834</v>
      </c>
      <c r="T65" s="39"/>
      <c r="U65" s="40">
        <v>720</v>
      </c>
      <c r="V65" s="38" t="str">
        <f>"416,5200"</f>
        <v>416,5200</v>
      </c>
      <c r="W65" s="18" t="s">
        <v>2106</v>
      </c>
    </row>
    <row r="66" spans="1:23" ht="12.75">
      <c r="A66" s="29">
        <v>4</v>
      </c>
      <c r="C66" s="18" t="s">
        <v>4489</v>
      </c>
      <c r="D66" s="18" t="s">
        <v>1256</v>
      </c>
      <c r="E66" s="18" t="s">
        <v>1936</v>
      </c>
      <c r="F66" s="18" t="str">
        <f>"0,5769"</f>
        <v>0,5769</v>
      </c>
      <c r="G66" s="18" t="s">
        <v>31</v>
      </c>
      <c r="H66" s="18" t="s">
        <v>1903</v>
      </c>
      <c r="I66" s="47" t="s">
        <v>238</v>
      </c>
      <c r="J66" s="140" t="s">
        <v>317</v>
      </c>
      <c r="K66" s="140" t="s">
        <v>319</v>
      </c>
      <c r="L66" s="39"/>
      <c r="M66" s="140" t="s">
        <v>153</v>
      </c>
      <c r="N66" s="140" t="s">
        <v>127</v>
      </c>
      <c r="O66" s="140" t="s">
        <v>108</v>
      </c>
      <c r="P66" s="39"/>
      <c r="Q66" s="140" t="s">
        <v>845</v>
      </c>
      <c r="R66" s="140" t="s">
        <v>913</v>
      </c>
      <c r="S66" s="47" t="s">
        <v>860</v>
      </c>
      <c r="T66" s="39"/>
      <c r="U66" s="40">
        <v>720</v>
      </c>
      <c r="V66" s="38" t="str">
        <f>"415,3680"</f>
        <v>415,3680</v>
      </c>
      <c r="W66" s="18" t="s">
        <v>1953</v>
      </c>
    </row>
    <row r="67" spans="1:23" ht="12.75">
      <c r="A67" s="29">
        <v>5</v>
      </c>
      <c r="B67" s="410">
        <v>6</v>
      </c>
      <c r="C67" s="18" t="s">
        <v>4221</v>
      </c>
      <c r="D67" s="18" t="s">
        <v>335</v>
      </c>
      <c r="E67" s="18" t="s">
        <v>88</v>
      </c>
      <c r="F67" s="18" t="str">
        <f>"0,5749"</f>
        <v>0,5749</v>
      </c>
      <c r="G67" s="18" t="s">
        <v>2104</v>
      </c>
      <c r="H67" s="18" t="s">
        <v>337</v>
      </c>
      <c r="I67" s="47" t="s">
        <v>317</v>
      </c>
      <c r="J67" s="140" t="s">
        <v>317</v>
      </c>
      <c r="K67" s="140" t="s">
        <v>319</v>
      </c>
      <c r="L67" s="39"/>
      <c r="M67" s="140" t="s">
        <v>175</v>
      </c>
      <c r="N67" s="140" t="s">
        <v>120</v>
      </c>
      <c r="O67" s="47" t="s">
        <v>190</v>
      </c>
      <c r="P67" s="39"/>
      <c r="Q67" s="47" t="s">
        <v>319</v>
      </c>
      <c r="R67" s="140" t="s">
        <v>319</v>
      </c>
      <c r="S67" s="140" t="s">
        <v>992</v>
      </c>
      <c r="T67" s="39"/>
      <c r="U67" s="40">
        <v>710</v>
      </c>
      <c r="V67" s="38" t="str">
        <f>"408,1790"</f>
        <v>408,1790</v>
      </c>
      <c r="W67" s="18" t="s">
        <v>1670</v>
      </c>
    </row>
    <row r="68" spans="1:23" ht="12.75">
      <c r="A68" s="29">
        <v>6</v>
      </c>
      <c r="B68" s="410">
        <v>5</v>
      </c>
      <c r="C68" s="18" t="s">
        <v>4515</v>
      </c>
      <c r="D68" s="18" t="s">
        <v>1257</v>
      </c>
      <c r="E68" s="18" t="s">
        <v>1937</v>
      </c>
      <c r="F68" s="18" t="str">
        <f>"0,5853"</f>
        <v>0,5853</v>
      </c>
      <c r="G68" s="18" t="s">
        <v>2104</v>
      </c>
      <c r="H68" s="18" t="s">
        <v>1903</v>
      </c>
      <c r="I68" s="47" t="s">
        <v>191</v>
      </c>
      <c r="J68" s="140" t="s">
        <v>238</v>
      </c>
      <c r="K68" s="47" t="s">
        <v>317</v>
      </c>
      <c r="L68" s="39"/>
      <c r="M68" s="140" t="s">
        <v>153</v>
      </c>
      <c r="N68" s="47" t="s">
        <v>127</v>
      </c>
      <c r="O68" s="140" t="s">
        <v>127</v>
      </c>
      <c r="P68" s="39"/>
      <c r="Q68" s="140" t="s">
        <v>317</v>
      </c>
      <c r="R68" s="47" t="s">
        <v>845</v>
      </c>
      <c r="S68" s="47" t="s">
        <v>845</v>
      </c>
      <c r="T68" s="39"/>
      <c r="U68" s="40">
        <v>650</v>
      </c>
      <c r="V68" s="38" t="str">
        <f>"380,4450"</f>
        <v>380,4450</v>
      </c>
      <c r="W68" s="18" t="s">
        <v>1904</v>
      </c>
    </row>
    <row r="69" spans="3:23" ht="12.75">
      <c r="C69" s="19" t="s">
        <v>1252</v>
      </c>
      <c r="D69" s="19" t="s">
        <v>1258</v>
      </c>
      <c r="E69" s="19" t="s">
        <v>1727</v>
      </c>
      <c r="F69" s="19" t="str">
        <f>"0,5786"</f>
        <v>0,5786</v>
      </c>
      <c r="G69" s="19" t="s">
        <v>22</v>
      </c>
      <c r="H69" s="19" t="s">
        <v>23</v>
      </c>
      <c r="I69" s="47" t="s">
        <v>860</v>
      </c>
      <c r="J69" s="48" t="s">
        <v>860</v>
      </c>
      <c r="K69" s="48" t="s">
        <v>860</v>
      </c>
      <c r="L69" s="42"/>
      <c r="M69" s="42"/>
      <c r="N69" s="42"/>
      <c r="O69" s="42"/>
      <c r="P69" s="42"/>
      <c r="Q69" s="42"/>
      <c r="R69" s="42"/>
      <c r="S69" s="42"/>
      <c r="T69" s="42"/>
      <c r="U69" s="51">
        <v>0</v>
      </c>
      <c r="V69" s="41" t="s">
        <v>1639</v>
      </c>
      <c r="W69" s="19" t="s">
        <v>2178</v>
      </c>
    </row>
    <row r="71" spans="3:22" ht="15.75">
      <c r="C71" s="508" t="s">
        <v>355</v>
      </c>
      <c r="D71" s="508"/>
      <c r="E71" s="508"/>
      <c r="F71" s="508"/>
      <c r="G71" s="508"/>
      <c r="H71" s="508"/>
      <c r="I71" s="508"/>
      <c r="J71" s="508"/>
      <c r="K71" s="508"/>
      <c r="L71" s="508"/>
      <c r="M71" s="508"/>
      <c r="N71" s="508"/>
      <c r="O71" s="508"/>
      <c r="P71" s="508"/>
      <c r="Q71" s="508"/>
      <c r="R71" s="508"/>
      <c r="S71" s="508"/>
      <c r="T71" s="508"/>
      <c r="U71" s="508"/>
      <c r="V71" s="508"/>
    </row>
    <row r="72" spans="1:23" ht="12.75">
      <c r="A72" s="29">
        <v>1</v>
      </c>
      <c r="C72" s="17" t="s">
        <v>4490</v>
      </c>
      <c r="D72" s="17" t="s">
        <v>1259</v>
      </c>
      <c r="E72" s="17" t="s">
        <v>1736</v>
      </c>
      <c r="F72" s="17" t="str">
        <f>"0,5662"</f>
        <v>0,5662</v>
      </c>
      <c r="G72" s="17" t="s">
        <v>31</v>
      </c>
      <c r="H72" s="17" t="s">
        <v>930</v>
      </c>
      <c r="I72" s="138" t="s">
        <v>237</v>
      </c>
      <c r="J72" s="138" t="s">
        <v>319</v>
      </c>
      <c r="K72" s="138" t="s">
        <v>860</v>
      </c>
      <c r="L72" s="36"/>
      <c r="M72" s="138" t="s">
        <v>89</v>
      </c>
      <c r="N72" s="138" t="s">
        <v>480</v>
      </c>
      <c r="O72" s="138" t="s">
        <v>132</v>
      </c>
      <c r="P72" s="36"/>
      <c r="Q72" s="138" t="s">
        <v>237</v>
      </c>
      <c r="R72" s="138" t="s">
        <v>845</v>
      </c>
      <c r="S72" s="46" t="s">
        <v>860</v>
      </c>
      <c r="T72" s="36"/>
      <c r="U72" s="44">
        <v>710</v>
      </c>
      <c r="V72" s="35" t="str">
        <f>"404,0120"</f>
        <v>404,0120</v>
      </c>
      <c r="W72" s="17" t="s">
        <v>51</v>
      </c>
    </row>
    <row r="73" spans="1:23" ht="12.75">
      <c r="A73" s="29">
        <v>1</v>
      </c>
      <c r="B73" s="410">
        <v>12</v>
      </c>
      <c r="C73" s="19" t="s">
        <v>4491</v>
      </c>
      <c r="D73" s="19" t="s">
        <v>1261</v>
      </c>
      <c r="E73" s="19" t="s">
        <v>1938</v>
      </c>
      <c r="F73" s="19" t="str">
        <f>"0,5677"</f>
        <v>0,5677</v>
      </c>
      <c r="G73" s="19" t="s">
        <v>2104</v>
      </c>
      <c r="H73" s="19" t="s">
        <v>1262</v>
      </c>
      <c r="I73" s="48" t="s">
        <v>190</v>
      </c>
      <c r="J73" s="139" t="s">
        <v>190</v>
      </c>
      <c r="K73" s="139" t="s">
        <v>192</v>
      </c>
      <c r="L73" s="42"/>
      <c r="M73" s="139" t="s">
        <v>446</v>
      </c>
      <c r="N73" s="48" t="s">
        <v>88</v>
      </c>
      <c r="O73" s="48" t="s">
        <v>88</v>
      </c>
      <c r="P73" s="42"/>
      <c r="Q73" s="139" t="s">
        <v>190</v>
      </c>
      <c r="R73" s="139" t="s">
        <v>237</v>
      </c>
      <c r="S73" s="48" t="s">
        <v>238</v>
      </c>
      <c r="T73" s="42"/>
      <c r="U73" s="43">
        <v>550</v>
      </c>
      <c r="V73" s="41" t="str">
        <f>"412,7747"</f>
        <v>412,7747</v>
      </c>
      <c r="W73" s="19" t="s">
        <v>51</v>
      </c>
    </row>
    <row r="75" spans="3:22" ht="15.75">
      <c r="C75" s="508" t="s">
        <v>364</v>
      </c>
      <c r="D75" s="508"/>
      <c r="E75" s="508"/>
      <c r="F75" s="508"/>
      <c r="G75" s="508"/>
      <c r="H75" s="508"/>
      <c r="I75" s="508"/>
      <c r="J75" s="508"/>
      <c r="K75" s="508"/>
      <c r="L75" s="508"/>
      <c r="M75" s="508"/>
      <c r="N75" s="508"/>
      <c r="O75" s="508"/>
      <c r="P75" s="508"/>
      <c r="Q75" s="508"/>
      <c r="R75" s="508"/>
      <c r="S75" s="508"/>
      <c r="T75" s="508"/>
      <c r="U75" s="508"/>
      <c r="V75" s="508"/>
    </row>
    <row r="76" spans="1:23" ht="12.75">
      <c r="A76" s="29">
        <v>1</v>
      </c>
      <c r="C76" s="20" t="s">
        <v>4492</v>
      </c>
      <c r="D76" s="20" t="s">
        <v>1264</v>
      </c>
      <c r="E76" s="20" t="s">
        <v>1663</v>
      </c>
      <c r="F76" s="20" t="str">
        <f>"0,5405"</f>
        <v>0,5405</v>
      </c>
      <c r="G76" s="20" t="s">
        <v>31</v>
      </c>
      <c r="H76" s="20" t="s">
        <v>2247</v>
      </c>
      <c r="I76" s="134" t="s">
        <v>2103</v>
      </c>
      <c r="J76" s="134" t="s">
        <v>1265</v>
      </c>
      <c r="K76" s="134" t="s">
        <v>1266</v>
      </c>
      <c r="L76" s="31"/>
      <c r="M76" s="134" t="s">
        <v>238</v>
      </c>
      <c r="N76" s="134" t="s">
        <v>317</v>
      </c>
      <c r="O76" s="134" t="s">
        <v>318</v>
      </c>
      <c r="P76" s="31"/>
      <c r="Q76" s="134" t="s">
        <v>836</v>
      </c>
      <c r="R76" s="134" t="s">
        <v>924</v>
      </c>
      <c r="S76" s="134" t="s">
        <v>899</v>
      </c>
      <c r="T76" s="31"/>
      <c r="U76" s="34">
        <v>1022.5</v>
      </c>
      <c r="V76" s="33" t="str">
        <f>"552,6612"</f>
        <v>552,6612</v>
      </c>
      <c r="W76" s="20" t="s">
        <v>1671</v>
      </c>
    </row>
    <row r="78" spans="3:4" ht="18">
      <c r="C78" s="16" t="s">
        <v>370</v>
      </c>
      <c r="D78" s="16"/>
    </row>
    <row r="79" spans="3:4" ht="15.75">
      <c r="C79" s="22" t="s">
        <v>371</v>
      </c>
      <c r="D79" s="22"/>
    </row>
    <row r="80" spans="3:4" ht="13.5">
      <c r="C80" s="24"/>
      <c r="D80" s="25" t="s">
        <v>2102</v>
      </c>
    </row>
    <row r="81" spans="3:7" ht="13.5">
      <c r="C81" s="26" t="s">
        <v>373</v>
      </c>
      <c r="D81" s="26" t="s">
        <v>374</v>
      </c>
      <c r="E81" s="26" t="s">
        <v>375</v>
      </c>
      <c r="F81" s="26" t="s">
        <v>376</v>
      </c>
      <c r="G81" s="26" t="s">
        <v>377</v>
      </c>
    </row>
    <row r="82" spans="1:7" ht="12.75">
      <c r="A82" s="29">
        <v>1</v>
      </c>
      <c r="C82" s="90" t="s">
        <v>1205</v>
      </c>
      <c r="D82" s="49" t="s">
        <v>372</v>
      </c>
      <c r="E82" s="49" t="s">
        <v>383</v>
      </c>
      <c r="F82" s="49" t="s">
        <v>1267</v>
      </c>
      <c r="G82" s="50" t="s">
        <v>1268</v>
      </c>
    </row>
    <row r="83" spans="1:7" ht="12.75">
      <c r="A83" s="29">
        <v>2</v>
      </c>
      <c r="C83" s="90" t="s">
        <v>1203</v>
      </c>
      <c r="D83" s="49" t="s">
        <v>372</v>
      </c>
      <c r="E83" s="49" t="s">
        <v>380</v>
      </c>
      <c r="F83" s="49" t="s">
        <v>1269</v>
      </c>
      <c r="G83" s="50" t="s">
        <v>1270</v>
      </c>
    </row>
    <row r="84" spans="1:7" ht="12.75">
      <c r="A84" s="29">
        <v>3</v>
      </c>
      <c r="C84" s="90" t="s">
        <v>1208</v>
      </c>
      <c r="D84" s="49" t="s">
        <v>372</v>
      </c>
      <c r="E84" s="49" t="s">
        <v>383</v>
      </c>
      <c r="F84" s="49" t="s">
        <v>1266</v>
      </c>
      <c r="G84" s="50" t="s">
        <v>1271</v>
      </c>
    </row>
    <row r="86" spans="3:4" ht="15.75">
      <c r="C86" s="22" t="s">
        <v>387</v>
      </c>
      <c r="D86" s="22"/>
    </row>
    <row r="87" spans="3:4" ht="13.5">
      <c r="C87" s="24"/>
      <c r="D87" s="25" t="s">
        <v>2102</v>
      </c>
    </row>
    <row r="88" spans="3:7" ht="13.5">
      <c r="C88" s="26" t="s">
        <v>373</v>
      </c>
      <c r="D88" s="26" t="s">
        <v>374</v>
      </c>
      <c r="E88" s="26" t="s">
        <v>375</v>
      </c>
      <c r="F88" s="26" t="s">
        <v>376</v>
      </c>
      <c r="G88" s="26" t="s">
        <v>377</v>
      </c>
    </row>
    <row r="89" spans="1:7" ht="12.75">
      <c r="A89" s="29">
        <v>1</v>
      </c>
      <c r="C89" s="90" t="s">
        <v>1247</v>
      </c>
      <c r="D89" s="49" t="s">
        <v>395</v>
      </c>
      <c r="E89" s="49" t="s">
        <v>389</v>
      </c>
      <c r="F89" s="49" t="s">
        <v>1272</v>
      </c>
      <c r="G89" s="50" t="s">
        <v>1273</v>
      </c>
    </row>
    <row r="90" spans="1:7" ht="12.75">
      <c r="A90" s="29">
        <v>2</v>
      </c>
      <c r="C90" s="90" t="s">
        <v>1238</v>
      </c>
      <c r="D90" s="49" t="s">
        <v>395</v>
      </c>
      <c r="E90" s="49" t="s">
        <v>392</v>
      </c>
      <c r="F90" s="49" t="s">
        <v>1274</v>
      </c>
      <c r="G90" s="50" t="s">
        <v>1275</v>
      </c>
    </row>
    <row r="91" spans="1:7" ht="12.75">
      <c r="A91" s="29">
        <v>3</v>
      </c>
      <c r="C91" s="90" t="s">
        <v>1250</v>
      </c>
      <c r="D91" s="49" t="s">
        <v>395</v>
      </c>
      <c r="E91" s="49" t="s">
        <v>389</v>
      </c>
      <c r="F91" s="49" t="s">
        <v>1276</v>
      </c>
      <c r="G91" s="50" t="s">
        <v>1277</v>
      </c>
    </row>
    <row r="92" spans="3:4" ht="13.5">
      <c r="C92" s="24"/>
      <c r="D92" s="25" t="s">
        <v>2102</v>
      </c>
    </row>
    <row r="93" spans="3:7" ht="13.5">
      <c r="C93" s="26" t="s">
        <v>373</v>
      </c>
      <c r="D93" s="26" t="s">
        <v>374</v>
      </c>
      <c r="E93" s="26" t="s">
        <v>375</v>
      </c>
      <c r="F93" s="26" t="s">
        <v>376</v>
      </c>
      <c r="G93" s="26" t="s">
        <v>377</v>
      </c>
    </row>
    <row r="94" spans="1:7" ht="12.75">
      <c r="A94" s="29">
        <v>1</v>
      </c>
      <c r="C94" s="90" t="s">
        <v>1263</v>
      </c>
      <c r="D94" s="49" t="s">
        <v>372</v>
      </c>
      <c r="E94" s="49" t="s">
        <v>405</v>
      </c>
      <c r="F94" s="49" t="s">
        <v>1278</v>
      </c>
      <c r="G94" s="50" t="s">
        <v>1279</v>
      </c>
    </row>
    <row r="95" spans="1:7" ht="12.75">
      <c r="A95" s="29">
        <v>2</v>
      </c>
      <c r="C95" s="90" t="s">
        <v>1240</v>
      </c>
      <c r="D95" s="49" t="s">
        <v>372</v>
      </c>
      <c r="E95" s="49" t="s">
        <v>392</v>
      </c>
      <c r="F95" s="49" t="s">
        <v>1280</v>
      </c>
      <c r="G95" s="50" t="s">
        <v>1281</v>
      </c>
    </row>
    <row r="96" spans="1:7" ht="12.75">
      <c r="A96" s="29">
        <v>3</v>
      </c>
      <c r="C96" s="90" t="s">
        <v>1222</v>
      </c>
      <c r="D96" s="49" t="s">
        <v>372</v>
      </c>
      <c r="E96" s="49" t="s">
        <v>378</v>
      </c>
      <c r="F96" s="49" t="s">
        <v>1282</v>
      </c>
      <c r="G96" s="50" t="s">
        <v>1283</v>
      </c>
    </row>
    <row r="97" spans="3:4" ht="13.5">
      <c r="C97" s="24"/>
      <c r="D97" s="25" t="s">
        <v>2102</v>
      </c>
    </row>
    <row r="98" spans="3:7" ht="13.5">
      <c r="C98" s="26" t="s">
        <v>373</v>
      </c>
      <c r="D98" s="26" t="s">
        <v>374</v>
      </c>
      <c r="E98" s="26" t="s">
        <v>375</v>
      </c>
      <c r="F98" s="26" t="s">
        <v>376</v>
      </c>
      <c r="G98" s="26" t="s">
        <v>377</v>
      </c>
    </row>
    <row r="99" spans="1:7" ht="12.75">
      <c r="A99" s="29">
        <v>1</v>
      </c>
      <c r="C99" s="90" t="s">
        <v>206</v>
      </c>
      <c r="D99" s="49" t="s">
        <v>384</v>
      </c>
      <c r="E99" s="49" t="s">
        <v>397</v>
      </c>
      <c r="F99" s="49" t="s">
        <v>1064</v>
      </c>
      <c r="G99" s="50" t="s">
        <v>1285</v>
      </c>
    </row>
    <row r="100" spans="1:7" ht="12.75">
      <c r="A100" s="29">
        <v>2</v>
      </c>
      <c r="C100" s="90" t="s">
        <v>1212</v>
      </c>
      <c r="D100" s="49" t="s">
        <v>407</v>
      </c>
      <c r="E100" s="49" t="s">
        <v>383</v>
      </c>
      <c r="F100" s="49" t="s">
        <v>1067</v>
      </c>
      <c r="G100" s="50" t="s">
        <v>1286</v>
      </c>
    </row>
    <row r="101" spans="1:7" ht="12.75">
      <c r="A101" s="29">
        <v>3</v>
      </c>
      <c r="C101" s="90" t="s">
        <v>1260</v>
      </c>
      <c r="D101" s="49" t="s">
        <v>773</v>
      </c>
      <c r="E101" s="49" t="s">
        <v>400</v>
      </c>
      <c r="F101" s="49" t="s">
        <v>1287</v>
      </c>
      <c r="G101" s="50" t="s">
        <v>1288</v>
      </c>
    </row>
  </sheetData>
  <sheetProtection/>
  <mergeCells count="29">
    <mergeCell ref="B3:B4"/>
    <mergeCell ref="C27:V27"/>
    <mergeCell ref="C23:V23"/>
    <mergeCell ref="C75:V75"/>
    <mergeCell ref="C71:V71"/>
    <mergeCell ref="C59:V59"/>
    <mergeCell ref="C51:V51"/>
    <mergeCell ref="C42:V42"/>
    <mergeCell ref="C33:V33"/>
    <mergeCell ref="G3:G4"/>
    <mergeCell ref="A3:A4"/>
    <mergeCell ref="C1:W2"/>
    <mergeCell ref="C3:C4"/>
    <mergeCell ref="D3:D4"/>
    <mergeCell ref="E3:E4"/>
    <mergeCell ref="F3:F4"/>
    <mergeCell ref="Q3:T3"/>
    <mergeCell ref="U3:U4"/>
    <mergeCell ref="V3:V4"/>
    <mergeCell ref="H3:H4"/>
    <mergeCell ref="C20:V20"/>
    <mergeCell ref="C8:V8"/>
    <mergeCell ref="W3:W4"/>
    <mergeCell ref="C5:V5"/>
    <mergeCell ref="I3:L3"/>
    <mergeCell ref="M3:P3"/>
    <mergeCell ref="C15:V15"/>
    <mergeCell ref="C11:V11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W121"/>
  <sheetViews>
    <sheetView workbookViewId="0" topLeftCell="B76">
      <selection activeCell="G82" sqref="G82"/>
    </sheetView>
  </sheetViews>
  <sheetFormatPr defaultColWidth="8.75390625" defaultRowHeight="12.75"/>
  <cols>
    <col min="1" max="1" width="8.00390625" style="29" customWidth="1"/>
    <col min="2" max="2" width="11.75390625" style="410" customWidth="1"/>
    <col min="3" max="3" width="26.00390625" style="15" bestFit="1" customWidth="1"/>
    <col min="4" max="4" width="27.125" style="15" bestFit="1" customWidth="1"/>
    <col min="5" max="5" width="10.625" style="15" bestFit="1" customWidth="1"/>
    <col min="6" max="6" width="8.375" style="15" bestFit="1" customWidth="1"/>
    <col min="7" max="7" width="27.875" style="15" customWidth="1"/>
    <col min="8" max="8" width="36.125" style="15" customWidth="1"/>
    <col min="9" max="9" width="5.25390625" style="15" customWidth="1"/>
    <col min="10" max="11" width="5.625" style="15" bestFit="1" customWidth="1"/>
    <col min="12" max="12" width="4.625" style="15" bestFit="1" customWidth="1"/>
    <col min="13" max="15" width="5.625" style="15" bestFit="1" customWidth="1"/>
    <col min="16" max="16" width="4.625" style="15" bestFit="1" customWidth="1"/>
    <col min="17" max="20" width="5.625" style="15" bestFit="1" customWidth="1"/>
    <col min="21" max="21" width="7.875" style="30" bestFit="1" customWidth="1"/>
    <col min="22" max="22" width="8.625" style="15" bestFit="1" customWidth="1"/>
    <col min="23" max="23" width="18.625" style="15" customWidth="1"/>
  </cols>
  <sheetData>
    <row r="1" spans="1:23" s="1" customFormat="1" ht="15" customHeight="1">
      <c r="A1" s="28"/>
      <c r="B1" s="443"/>
      <c r="C1" s="552" t="s">
        <v>2169</v>
      </c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</row>
    <row r="2" spans="1:23" s="1" customFormat="1" ht="103.5" customHeight="1" thickBot="1">
      <c r="A2" s="28"/>
      <c r="B2" s="44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</row>
    <row r="3" spans="1:23" s="2" customFormat="1" ht="12.75" customHeight="1">
      <c r="A3" s="546" t="s">
        <v>1627</v>
      </c>
      <c r="B3" s="516" t="s">
        <v>4516</v>
      </c>
      <c r="C3" s="542" t="s">
        <v>0</v>
      </c>
      <c r="D3" s="548" t="s">
        <v>1628</v>
      </c>
      <c r="E3" s="548" t="s">
        <v>1629</v>
      </c>
      <c r="F3" s="542" t="s">
        <v>9</v>
      </c>
      <c r="G3" s="542" t="s">
        <v>7</v>
      </c>
      <c r="H3" s="514" t="s">
        <v>3275</v>
      </c>
      <c r="I3" s="542" t="s">
        <v>1</v>
      </c>
      <c r="J3" s="542"/>
      <c r="K3" s="542"/>
      <c r="L3" s="542"/>
      <c r="M3" s="542" t="s">
        <v>2</v>
      </c>
      <c r="N3" s="542"/>
      <c r="O3" s="542"/>
      <c r="P3" s="542"/>
      <c r="Q3" s="542" t="s">
        <v>3</v>
      </c>
      <c r="R3" s="542"/>
      <c r="S3" s="542"/>
      <c r="T3" s="542"/>
      <c r="U3" s="550" t="s">
        <v>4</v>
      </c>
      <c r="V3" s="542" t="s">
        <v>6</v>
      </c>
      <c r="W3" s="544" t="s">
        <v>5</v>
      </c>
    </row>
    <row r="4" spans="1:23" s="2" customFormat="1" ht="21" customHeight="1" thickBot="1">
      <c r="A4" s="547"/>
      <c r="B4" s="517"/>
      <c r="C4" s="543"/>
      <c r="D4" s="543"/>
      <c r="E4" s="549"/>
      <c r="F4" s="543"/>
      <c r="G4" s="543"/>
      <c r="H4" s="515"/>
      <c r="I4" s="3">
        <v>1</v>
      </c>
      <c r="J4" s="3">
        <v>2</v>
      </c>
      <c r="K4" s="3">
        <v>3</v>
      </c>
      <c r="L4" s="3" t="s">
        <v>8</v>
      </c>
      <c r="M4" s="3">
        <v>1</v>
      </c>
      <c r="N4" s="3">
        <v>2</v>
      </c>
      <c r="O4" s="3">
        <v>3</v>
      </c>
      <c r="P4" s="3" t="s">
        <v>8</v>
      </c>
      <c r="Q4" s="3">
        <v>1</v>
      </c>
      <c r="R4" s="3">
        <v>2</v>
      </c>
      <c r="S4" s="3">
        <v>3</v>
      </c>
      <c r="T4" s="3" t="s">
        <v>8</v>
      </c>
      <c r="U4" s="551"/>
      <c r="V4" s="543"/>
      <c r="W4" s="545"/>
    </row>
    <row r="5" spans="3:22" ht="15.75">
      <c r="C5" s="526" t="s">
        <v>412</v>
      </c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</row>
    <row r="6" spans="1:23" ht="12.75">
      <c r="A6" s="29">
        <v>1</v>
      </c>
      <c r="B6" s="410">
        <v>12</v>
      </c>
      <c r="C6" s="20" t="s">
        <v>4569</v>
      </c>
      <c r="D6" s="20" t="s">
        <v>1069</v>
      </c>
      <c r="E6" s="20" t="s">
        <v>1966</v>
      </c>
      <c r="F6" s="20" t="str">
        <f>"1,3594"</f>
        <v>1,3594</v>
      </c>
      <c r="G6" s="79" t="s">
        <v>2104</v>
      </c>
      <c r="H6" s="20" t="s">
        <v>1737</v>
      </c>
      <c r="I6" s="134" t="s">
        <v>416</v>
      </c>
      <c r="J6" s="134" t="s">
        <v>57</v>
      </c>
      <c r="K6" s="134" t="s">
        <v>666</v>
      </c>
      <c r="L6" s="31"/>
      <c r="M6" s="134" t="s">
        <v>16</v>
      </c>
      <c r="N6" s="134" t="s">
        <v>71</v>
      </c>
      <c r="O6" s="45" t="s">
        <v>421</v>
      </c>
      <c r="P6" s="31"/>
      <c r="Q6" s="134" t="s">
        <v>474</v>
      </c>
      <c r="R6" s="134" t="s">
        <v>49</v>
      </c>
      <c r="S6" s="134" t="s">
        <v>33</v>
      </c>
      <c r="T6" s="31"/>
      <c r="U6" s="34">
        <v>217.5</v>
      </c>
      <c r="V6" s="33" t="str">
        <f>"295,6695"</f>
        <v>295,6695</v>
      </c>
      <c r="W6" s="20" t="s">
        <v>2228</v>
      </c>
    </row>
    <row r="8" spans="3:22" ht="15.75">
      <c r="C8" s="541" t="s">
        <v>66</v>
      </c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</row>
    <row r="9" spans="1:23" ht="12.75">
      <c r="A9" s="29">
        <v>1</v>
      </c>
      <c r="C9" s="17" t="s">
        <v>4570</v>
      </c>
      <c r="D9" s="17" t="s">
        <v>1073</v>
      </c>
      <c r="E9" s="84" t="s">
        <v>1968</v>
      </c>
      <c r="F9" s="17" t="str">
        <f>"1,3083"</f>
        <v>1,3083</v>
      </c>
      <c r="G9" s="84" t="s">
        <v>31</v>
      </c>
      <c r="H9" s="17" t="s">
        <v>621</v>
      </c>
      <c r="I9" s="147" t="s">
        <v>474</v>
      </c>
      <c r="J9" s="46" t="s">
        <v>49</v>
      </c>
      <c r="K9" s="85" t="s">
        <v>49</v>
      </c>
      <c r="L9" s="36"/>
      <c r="M9" s="85" t="s">
        <v>424</v>
      </c>
      <c r="N9" s="138" t="s">
        <v>95</v>
      </c>
      <c r="O9" s="85" t="s">
        <v>55</v>
      </c>
      <c r="P9" s="36"/>
      <c r="Q9" s="147" t="s">
        <v>49</v>
      </c>
      <c r="R9" s="138" t="s">
        <v>451</v>
      </c>
      <c r="S9" s="85" t="s">
        <v>471</v>
      </c>
      <c r="T9" s="36"/>
      <c r="U9" s="151">
        <v>247.5</v>
      </c>
      <c r="V9" s="35" t="s">
        <v>2232</v>
      </c>
      <c r="W9" s="88" t="s">
        <v>1994</v>
      </c>
    </row>
    <row r="10" spans="1:23" ht="12.75">
      <c r="A10" s="29">
        <v>2</v>
      </c>
      <c r="C10" s="18" t="s">
        <v>4571</v>
      </c>
      <c r="D10" s="18" t="s">
        <v>1071</v>
      </c>
      <c r="E10" s="79" t="s">
        <v>1967</v>
      </c>
      <c r="F10" s="18" t="str">
        <f>"1,2673"</f>
        <v>1,2673</v>
      </c>
      <c r="G10" s="79" t="s">
        <v>31</v>
      </c>
      <c r="H10" s="18" t="s">
        <v>1903</v>
      </c>
      <c r="I10" s="146" t="s">
        <v>95</v>
      </c>
      <c r="J10" s="47" t="s">
        <v>57</v>
      </c>
      <c r="K10" s="146" t="s">
        <v>666</v>
      </c>
      <c r="L10" s="39"/>
      <c r="M10" s="146" t="s">
        <v>432</v>
      </c>
      <c r="N10" s="47" t="s">
        <v>419</v>
      </c>
      <c r="O10" s="80" t="s">
        <v>419</v>
      </c>
      <c r="P10" s="39"/>
      <c r="Q10" s="146" t="s">
        <v>49</v>
      </c>
      <c r="R10" s="140" t="s">
        <v>303</v>
      </c>
      <c r="S10" s="80" t="s">
        <v>471</v>
      </c>
      <c r="T10" s="39"/>
      <c r="U10" s="150">
        <v>227.5</v>
      </c>
      <c r="V10" s="38" t="str">
        <f>"288,3108"</f>
        <v>288,3108</v>
      </c>
      <c r="W10" s="93" t="s">
        <v>1993</v>
      </c>
    </row>
    <row r="11" spans="1:23" ht="12.75">
      <c r="A11" s="29">
        <v>1</v>
      </c>
      <c r="B11" s="410">
        <v>30</v>
      </c>
      <c r="C11" s="18" t="s">
        <v>4572</v>
      </c>
      <c r="D11" s="18" t="s">
        <v>1075</v>
      </c>
      <c r="E11" s="79" t="s">
        <v>1969</v>
      </c>
      <c r="F11" s="18" t="str">
        <f>"1,2578"</f>
        <v>1,2578</v>
      </c>
      <c r="G11" s="79" t="s">
        <v>2104</v>
      </c>
      <c r="H11" s="18" t="s">
        <v>1903</v>
      </c>
      <c r="I11" s="146" t="s">
        <v>471</v>
      </c>
      <c r="J11" s="47" t="s">
        <v>544</v>
      </c>
      <c r="K11" s="146" t="s">
        <v>544</v>
      </c>
      <c r="L11" s="39"/>
      <c r="M11" s="146" t="s">
        <v>457</v>
      </c>
      <c r="N11" s="140" t="s">
        <v>424</v>
      </c>
      <c r="O11" s="80" t="s">
        <v>95</v>
      </c>
      <c r="P11" s="39"/>
      <c r="Q11" s="146" t="s">
        <v>480</v>
      </c>
      <c r="R11" s="140" t="s">
        <v>811</v>
      </c>
      <c r="S11" s="80" t="s">
        <v>297</v>
      </c>
      <c r="T11" s="39"/>
      <c r="U11" s="150">
        <v>322.5</v>
      </c>
      <c r="V11" s="38" t="str">
        <f>"405,6405"</f>
        <v>405,6405</v>
      </c>
      <c r="W11" s="93" t="s">
        <v>1995</v>
      </c>
    </row>
    <row r="12" spans="1:23" ht="12.75">
      <c r="A12" s="29">
        <v>2</v>
      </c>
      <c r="B12" s="410">
        <v>21</v>
      </c>
      <c r="C12" s="19" t="s">
        <v>4573</v>
      </c>
      <c r="D12" s="19" t="s">
        <v>1076</v>
      </c>
      <c r="E12" s="98" t="s">
        <v>1970</v>
      </c>
      <c r="F12" s="19" t="str">
        <f>"1,2711"</f>
        <v>1,2711</v>
      </c>
      <c r="G12" s="98" t="s">
        <v>130</v>
      </c>
      <c r="H12" s="19" t="s">
        <v>1023</v>
      </c>
      <c r="I12" s="171" t="s">
        <v>474</v>
      </c>
      <c r="J12" s="139" t="s">
        <v>32</v>
      </c>
      <c r="K12" s="148" t="s">
        <v>495</v>
      </c>
      <c r="L12" s="42"/>
      <c r="M12" s="148" t="s">
        <v>94</v>
      </c>
      <c r="N12" s="139" t="s">
        <v>95</v>
      </c>
      <c r="O12" s="153" t="s">
        <v>55</v>
      </c>
      <c r="P12" s="42"/>
      <c r="Q12" s="148" t="s">
        <v>452</v>
      </c>
      <c r="R12" s="48" t="s">
        <v>25</v>
      </c>
      <c r="S12" s="153" t="s">
        <v>25</v>
      </c>
      <c r="T12" s="42"/>
      <c r="U12" s="152">
        <v>260</v>
      </c>
      <c r="V12" s="41" t="str">
        <f>"330,4860"</f>
        <v>330,4860</v>
      </c>
      <c r="W12" s="95" t="s">
        <v>1996</v>
      </c>
    </row>
    <row r="14" spans="3:22" ht="15.75">
      <c r="C14" s="541" t="s">
        <v>10</v>
      </c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1"/>
      <c r="S14" s="541"/>
      <c r="T14" s="541"/>
      <c r="U14" s="541"/>
      <c r="V14" s="541"/>
    </row>
    <row r="15" spans="1:23" ht="12.75">
      <c r="A15" s="29">
        <v>1</v>
      </c>
      <c r="C15" s="20" t="s">
        <v>4574</v>
      </c>
      <c r="D15" s="20" t="s">
        <v>1077</v>
      </c>
      <c r="E15" s="20" t="s">
        <v>1971</v>
      </c>
      <c r="F15" s="20" t="str">
        <f>"1,1783"</f>
        <v>1,1783</v>
      </c>
      <c r="G15" s="20" t="s">
        <v>31</v>
      </c>
      <c r="H15" s="20" t="s">
        <v>516</v>
      </c>
      <c r="I15" s="134" t="s">
        <v>49</v>
      </c>
      <c r="J15" s="45" t="s">
        <v>33</v>
      </c>
      <c r="K15" s="45" t="s">
        <v>303</v>
      </c>
      <c r="L15" s="31"/>
      <c r="M15" s="134" t="s">
        <v>93</v>
      </c>
      <c r="N15" s="45" t="s">
        <v>457</v>
      </c>
      <c r="O15" s="45" t="s">
        <v>457</v>
      </c>
      <c r="P15" s="31"/>
      <c r="Q15" s="134" t="s">
        <v>480</v>
      </c>
      <c r="R15" s="134" t="s">
        <v>132</v>
      </c>
      <c r="S15" s="45" t="s">
        <v>63</v>
      </c>
      <c r="T15" s="31"/>
      <c r="U15" s="32">
        <v>295</v>
      </c>
      <c r="V15" s="33" t="s">
        <v>2231</v>
      </c>
      <c r="W15" s="20" t="s">
        <v>1997</v>
      </c>
    </row>
    <row r="17" spans="3:22" ht="15.75">
      <c r="C17" s="541" t="s">
        <v>80</v>
      </c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41"/>
      <c r="P17" s="541"/>
      <c r="Q17" s="541"/>
      <c r="R17" s="541"/>
      <c r="S17" s="541"/>
      <c r="T17" s="541"/>
      <c r="U17" s="541"/>
      <c r="V17" s="541"/>
    </row>
    <row r="18" spans="1:23" ht="12.75">
      <c r="A18" s="29">
        <v>1</v>
      </c>
      <c r="B18" s="410">
        <v>12</v>
      </c>
      <c r="C18" s="17" t="s">
        <v>4575</v>
      </c>
      <c r="D18" s="17" t="s">
        <v>1078</v>
      </c>
      <c r="E18" s="17" t="s">
        <v>1972</v>
      </c>
      <c r="F18" s="17" t="str">
        <f>"1,1178"</f>
        <v>1,1178</v>
      </c>
      <c r="G18" s="17" t="s">
        <v>483</v>
      </c>
      <c r="H18" s="17" t="s">
        <v>484</v>
      </c>
      <c r="I18" s="138" t="s">
        <v>49</v>
      </c>
      <c r="J18" s="138" t="s">
        <v>451</v>
      </c>
      <c r="K18" s="46" t="s">
        <v>452</v>
      </c>
      <c r="L18" s="36"/>
      <c r="M18" s="138" t="s">
        <v>419</v>
      </c>
      <c r="N18" s="46" t="s">
        <v>457</v>
      </c>
      <c r="O18" s="138" t="s">
        <v>457</v>
      </c>
      <c r="P18" s="36"/>
      <c r="Q18" s="138" t="s">
        <v>49</v>
      </c>
      <c r="R18" s="138" t="s">
        <v>33</v>
      </c>
      <c r="S18" s="46" t="s">
        <v>303</v>
      </c>
      <c r="T18" s="36"/>
      <c r="U18" s="44">
        <v>250</v>
      </c>
      <c r="V18" s="35" t="str">
        <f>"279,4500"</f>
        <v>279,4500</v>
      </c>
      <c r="W18" s="17" t="s">
        <v>51</v>
      </c>
    </row>
    <row r="19" spans="1:23" ht="12.75">
      <c r="A19" s="29">
        <v>1</v>
      </c>
      <c r="B19" s="410">
        <v>30</v>
      </c>
      <c r="C19" s="19" t="s">
        <v>4537</v>
      </c>
      <c r="D19" s="19" t="s">
        <v>1080</v>
      </c>
      <c r="E19" s="19" t="s">
        <v>1762</v>
      </c>
      <c r="F19" s="19" t="str">
        <f>"1,1236"</f>
        <v>1,1236</v>
      </c>
      <c r="G19" s="19" t="s">
        <v>2104</v>
      </c>
      <c r="H19" s="19" t="s">
        <v>893</v>
      </c>
      <c r="I19" s="48" t="s">
        <v>88</v>
      </c>
      <c r="J19" s="139" t="s">
        <v>139</v>
      </c>
      <c r="K19" s="48" t="s">
        <v>100</v>
      </c>
      <c r="L19" s="42"/>
      <c r="M19" s="139" t="s">
        <v>416</v>
      </c>
      <c r="N19" s="48" t="s">
        <v>56</v>
      </c>
      <c r="O19" s="139" t="s">
        <v>56</v>
      </c>
      <c r="P19" s="42"/>
      <c r="Q19" s="139" t="s">
        <v>183</v>
      </c>
      <c r="R19" s="139" t="s">
        <v>153</v>
      </c>
      <c r="S19" s="48" t="s">
        <v>126</v>
      </c>
      <c r="T19" s="42"/>
      <c r="U19" s="43">
        <v>365</v>
      </c>
      <c r="V19" s="41" t="str">
        <f>"410,1140"</f>
        <v>410,1140</v>
      </c>
      <c r="W19" s="19" t="s">
        <v>1813</v>
      </c>
    </row>
    <row r="20" ht="12.75">
      <c r="K20" s="55"/>
    </row>
    <row r="21" spans="3:22" ht="15.75">
      <c r="C21" s="541" t="s">
        <v>18</v>
      </c>
      <c r="D21" s="541"/>
      <c r="E21" s="541"/>
      <c r="F21" s="541"/>
      <c r="G21" s="541"/>
      <c r="H21" s="541"/>
      <c r="I21" s="541"/>
      <c r="J21" s="541"/>
      <c r="K21" s="541"/>
      <c r="L21" s="541"/>
      <c r="M21" s="541"/>
      <c r="N21" s="541"/>
      <c r="O21" s="541"/>
      <c r="P21" s="541"/>
      <c r="Q21" s="541"/>
      <c r="R21" s="541"/>
      <c r="S21" s="541"/>
      <c r="T21" s="541"/>
      <c r="U21" s="541"/>
      <c r="V21" s="541"/>
    </row>
    <row r="22" spans="1:23" ht="12.75">
      <c r="A22" s="29">
        <v>1</v>
      </c>
      <c r="C22" s="17" t="s">
        <v>4576</v>
      </c>
      <c r="D22" s="17" t="s">
        <v>1082</v>
      </c>
      <c r="E22" s="17" t="s">
        <v>1973</v>
      </c>
      <c r="F22" s="17" t="str">
        <f>"1,0503"</f>
        <v>1,0503</v>
      </c>
      <c r="G22" s="17" t="s">
        <v>31</v>
      </c>
      <c r="H22" s="17" t="s">
        <v>1903</v>
      </c>
      <c r="I22" s="138" t="s">
        <v>474</v>
      </c>
      <c r="J22" s="138" t="s">
        <v>33</v>
      </c>
      <c r="K22" s="138" t="s">
        <v>303</v>
      </c>
      <c r="L22" s="36"/>
      <c r="M22" s="138" t="s">
        <v>93</v>
      </c>
      <c r="N22" s="46" t="s">
        <v>457</v>
      </c>
      <c r="O22" s="138" t="s">
        <v>457</v>
      </c>
      <c r="P22" s="36"/>
      <c r="Q22" s="138" t="s">
        <v>471</v>
      </c>
      <c r="R22" s="46" t="s">
        <v>446</v>
      </c>
      <c r="S22" s="46" t="s">
        <v>446</v>
      </c>
      <c r="T22" s="36"/>
      <c r="U22" s="37">
        <v>262.5</v>
      </c>
      <c r="V22" s="35" t="s">
        <v>2230</v>
      </c>
      <c r="W22" s="17" t="s">
        <v>51</v>
      </c>
    </row>
    <row r="23" spans="1:23" ht="12.75">
      <c r="A23" s="29">
        <v>1</v>
      </c>
      <c r="C23" s="19" t="s">
        <v>4145</v>
      </c>
      <c r="D23" s="19" t="s">
        <v>1084</v>
      </c>
      <c r="E23" s="19" t="s">
        <v>1766</v>
      </c>
      <c r="F23" s="19" t="str">
        <f>"1,0638"</f>
        <v>1,0638</v>
      </c>
      <c r="G23" s="19" t="s">
        <v>31</v>
      </c>
      <c r="H23" s="19" t="s">
        <v>1903</v>
      </c>
      <c r="I23" s="139" t="s">
        <v>25</v>
      </c>
      <c r="J23" s="139" t="s">
        <v>88</v>
      </c>
      <c r="K23" s="48" t="s">
        <v>447</v>
      </c>
      <c r="L23" s="42"/>
      <c r="M23" s="139" t="s">
        <v>95</v>
      </c>
      <c r="N23" s="48" t="s">
        <v>416</v>
      </c>
      <c r="O23" s="139" t="s">
        <v>416</v>
      </c>
      <c r="P23" s="42"/>
      <c r="Q23" s="48" t="s">
        <v>480</v>
      </c>
      <c r="R23" s="139" t="s">
        <v>480</v>
      </c>
      <c r="S23" s="48" t="s">
        <v>132</v>
      </c>
      <c r="T23" s="42"/>
      <c r="U23" s="43">
        <v>330</v>
      </c>
      <c r="V23" s="41" t="str">
        <f>"351,0540"</f>
        <v>351,0540</v>
      </c>
      <c r="W23" s="19" t="s">
        <v>1817</v>
      </c>
    </row>
    <row r="25" spans="3:22" ht="15.75">
      <c r="C25" s="541" t="s">
        <v>116</v>
      </c>
      <c r="D25" s="541"/>
      <c r="E25" s="541"/>
      <c r="F25" s="541"/>
      <c r="G25" s="541"/>
      <c r="H25" s="541"/>
      <c r="I25" s="541"/>
      <c r="J25" s="541"/>
      <c r="K25" s="541"/>
      <c r="L25" s="541"/>
      <c r="M25" s="541"/>
      <c r="N25" s="541"/>
      <c r="O25" s="541"/>
      <c r="P25" s="541"/>
      <c r="Q25" s="541"/>
      <c r="R25" s="541"/>
      <c r="S25" s="541"/>
      <c r="T25" s="541"/>
      <c r="U25" s="541"/>
      <c r="V25" s="541"/>
    </row>
    <row r="26" spans="1:23" ht="12.75">
      <c r="A26" s="29">
        <v>1</v>
      </c>
      <c r="C26" s="20" t="s">
        <v>4577</v>
      </c>
      <c r="D26" s="20" t="s">
        <v>1085</v>
      </c>
      <c r="E26" s="20" t="s">
        <v>1783</v>
      </c>
      <c r="F26" s="20" t="str">
        <f>"0,9384"</f>
        <v>0,9384</v>
      </c>
      <c r="G26" s="20" t="s">
        <v>31</v>
      </c>
      <c r="H26" s="20" t="s">
        <v>1086</v>
      </c>
      <c r="I26" s="134" t="s">
        <v>94</v>
      </c>
      <c r="J26" s="45" t="s">
        <v>48</v>
      </c>
      <c r="K26" s="45" t="s">
        <v>474</v>
      </c>
      <c r="L26" s="31"/>
      <c r="M26" s="134" t="s">
        <v>16</v>
      </c>
      <c r="N26" s="134" t="s">
        <v>432</v>
      </c>
      <c r="O26" s="134" t="s">
        <v>93</v>
      </c>
      <c r="P26" s="31"/>
      <c r="Q26" s="134" t="s">
        <v>48</v>
      </c>
      <c r="R26" s="134" t="s">
        <v>303</v>
      </c>
      <c r="S26" s="134" t="s">
        <v>24</v>
      </c>
      <c r="T26" s="31"/>
      <c r="U26" s="32">
        <v>222.5</v>
      </c>
      <c r="V26" s="33" t="s">
        <v>2229</v>
      </c>
      <c r="W26" s="20" t="s">
        <v>51</v>
      </c>
    </row>
    <row r="28" spans="3:22" ht="15.75">
      <c r="C28" s="541" t="s">
        <v>66</v>
      </c>
      <c r="D28" s="541"/>
      <c r="E28" s="541"/>
      <c r="F28" s="541"/>
      <c r="G28" s="541"/>
      <c r="H28" s="541"/>
      <c r="I28" s="541"/>
      <c r="J28" s="541"/>
      <c r="K28" s="541"/>
      <c r="L28" s="541"/>
      <c r="M28" s="541"/>
      <c r="N28" s="541"/>
      <c r="O28" s="541"/>
      <c r="P28" s="541"/>
      <c r="Q28" s="541"/>
      <c r="R28" s="541"/>
      <c r="S28" s="541"/>
      <c r="T28" s="541"/>
      <c r="U28" s="541"/>
      <c r="V28" s="541"/>
    </row>
    <row r="29" spans="1:23" ht="12.75">
      <c r="A29" s="29">
        <v>1</v>
      </c>
      <c r="C29" s="20" t="s">
        <v>4578</v>
      </c>
      <c r="D29" s="20" t="s">
        <v>1088</v>
      </c>
      <c r="E29" s="20" t="s">
        <v>1974</v>
      </c>
      <c r="F29" s="20" t="str">
        <f>"0,9853"</f>
        <v>0,9853</v>
      </c>
      <c r="G29" s="20" t="s">
        <v>31</v>
      </c>
      <c r="H29" s="20" t="s">
        <v>1086</v>
      </c>
      <c r="I29" s="134" t="s">
        <v>32</v>
      </c>
      <c r="J29" s="134" t="s">
        <v>49</v>
      </c>
      <c r="K29" s="134" t="s">
        <v>495</v>
      </c>
      <c r="L29" s="31"/>
      <c r="M29" s="134" t="s">
        <v>56</v>
      </c>
      <c r="N29" s="45" t="s">
        <v>1089</v>
      </c>
      <c r="O29" s="45" t="s">
        <v>1089</v>
      </c>
      <c r="P29" s="31"/>
      <c r="Q29" s="134" t="s">
        <v>447</v>
      </c>
      <c r="R29" s="134" t="s">
        <v>89</v>
      </c>
      <c r="S29" s="134" t="s">
        <v>551</v>
      </c>
      <c r="T29" s="45" t="s">
        <v>1090</v>
      </c>
      <c r="U29" s="34">
        <v>300</v>
      </c>
      <c r="V29" s="33" t="str">
        <f>"407,9142"</f>
        <v>407,9142</v>
      </c>
      <c r="W29" s="20" t="s">
        <v>1998</v>
      </c>
    </row>
    <row r="31" spans="3:22" ht="15.75">
      <c r="C31" s="541" t="s">
        <v>10</v>
      </c>
      <c r="D31" s="541"/>
      <c r="E31" s="541"/>
      <c r="F31" s="541"/>
      <c r="G31" s="541"/>
      <c r="H31" s="541"/>
      <c r="I31" s="541"/>
      <c r="J31" s="541"/>
      <c r="K31" s="541"/>
      <c r="L31" s="541"/>
      <c r="M31" s="541"/>
      <c r="N31" s="541"/>
      <c r="O31" s="541"/>
      <c r="P31" s="541"/>
      <c r="Q31" s="541"/>
      <c r="R31" s="541"/>
      <c r="S31" s="541"/>
      <c r="T31" s="541"/>
      <c r="U31" s="541"/>
      <c r="V31" s="541"/>
    </row>
    <row r="32" spans="1:23" ht="12.75">
      <c r="A32" s="29">
        <v>1</v>
      </c>
      <c r="C32" s="20" t="s">
        <v>4579</v>
      </c>
      <c r="D32" s="20" t="s">
        <v>1091</v>
      </c>
      <c r="E32" s="20" t="s">
        <v>1975</v>
      </c>
      <c r="F32" s="20" t="str">
        <f>"0,9492"</f>
        <v>0,9492</v>
      </c>
      <c r="G32" s="20" t="s">
        <v>31</v>
      </c>
      <c r="H32" s="20" t="s">
        <v>1573</v>
      </c>
      <c r="I32" s="134" t="s">
        <v>48</v>
      </c>
      <c r="J32" s="134" t="s">
        <v>32</v>
      </c>
      <c r="K32" s="134" t="s">
        <v>495</v>
      </c>
      <c r="L32" s="31"/>
      <c r="M32" s="134" t="s">
        <v>95</v>
      </c>
      <c r="N32" s="134" t="s">
        <v>416</v>
      </c>
      <c r="O32" s="45" t="s">
        <v>57</v>
      </c>
      <c r="P32" s="31"/>
      <c r="Q32" s="134" t="s">
        <v>33</v>
      </c>
      <c r="R32" s="134" t="s">
        <v>471</v>
      </c>
      <c r="S32" s="31"/>
      <c r="T32" s="31"/>
      <c r="U32" s="34">
        <v>267.5</v>
      </c>
      <c r="V32" s="33" t="str">
        <f>"253,9110"</f>
        <v>253,9110</v>
      </c>
      <c r="W32" s="20" t="s">
        <v>51</v>
      </c>
    </row>
    <row r="34" spans="3:22" ht="15.75">
      <c r="C34" s="541" t="s">
        <v>18</v>
      </c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1"/>
      <c r="S34" s="541"/>
      <c r="T34" s="541"/>
      <c r="U34" s="541"/>
      <c r="V34" s="541"/>
    </row>
    <row r="35" spans="1:23" ht="12.75">
      <c r="A35" s="29">
        <v>1</v>
      </c>
      <c r="B35" s="410">
        <v>12</v>
      </c>
      <c r="C35" s="17" t="s">
        <v>4580</v>
      </c>
      <c r="D35" s="17" t="s">
        <v>1093</v>
      </c>
      <c r="E35" s="17" t="s">
        <v>1777</v>
      </c>
      <c r="F35" s="17" t="str">
        <f>"0,7766"</f>
        <v>0,7766</v>
      </c>
      <c r="G35" s="17" t="s">
        <v>54</v>
      </c>
      <c r="H35" s="17" t="s">
        <v>1737</v>
      </c>
      <c r="I35" s="138" t="s">
        <v>480</v>
      </c>
      <c r="J35" s="138" t="s">
        <v>132</v>
      </c>
      <c r="K35" s="46" t="s">
        <v>63</v>
      </c>
      <c r="L35" s="36"/>
      <c r="M35" s="138" t="s">
        <v>446</v>
      </c>
      <c r="N35" s="46" t="s">
        <v>88</v>
      </c>
      <c r="O35" s="138" t="s">
        <v>88</v>
      </c>
      <c r="P35" s="36"/>
      <c r="Q35" s="138" t="s">
        <v>63</v>
      </c>
      <c r="R35" s="138" t="s">
        <v>77</v>
      </c>
      <c r="S35" s="138" t="s">
        <v>555</v>
      </c>
      <c r="T35" s="36"/>
      <c r="U35" s="44">
        <v>442.5</v>
      </c>
      <c r="V35" s="35" t="str">
        <f>"343,6455"</f>
        <v>343,6455</v>
      </c>
      <c r="W35" s="17" t="s">
        <v>1999</v>
      </c>
    </row>
    <row r="36" spans="3:23" ht="12.75">
      <c r="C36" s="18" t="s">
        <v>525</v>
      </c>
      <c r="D36" s="18" t="s">
        <v>526</v>
      </c>
      <c r="E36" s="18" t="s">
        <v>1656</v>
      </c>
      <c r="F36" s="18" t="str">
        <f>"0,7785"</f>
        <v>0,7785</v>
      </c>
      <c r="G36" s="18" t="s">
        <v>31</v>
      </c>
      <c r="H36" s="18" t="s">
        <v>1903</v>
      </c>
      <c r="I36" s="140" t="s">
        <v>153</v>
      </c>
      <c r="J36" s="47" t="s">
        <v>126</v>
      </c>
      <c r="K36" s="47" t="s">
        <v>126</v>
      </c>
      <c r="L36" s="39"/>
      <c r="M36" s="47" t="s">
        <v>447</v>
      </c>
      <c r="N36" s="47" t="s">
        <v>447</v>
      </c>
      <c r="O36" s="47" t="s">
        <v>447</v>
      </c>
      <c r="P36" s="39"/>
      <c r="Q36" s="39"/>
      <c r="R36" s="39"/>
      <c r="S36" s="39"/>
      <c r="T36" s="39"/>
      <c r="U36" s="52">
        <v>0</v>
      </c>
      <c r="V36" s="38" t="s">
        <v>1639</v>
      </c>
      <c r="W36" s="18" t="s">
        <v>51</v>
      </c>
    </row>
    <row r="37" spans="1:23" ht="12.75">
      <c r="A37" s="29">
        <v>1</v>
      </c>
      <c r="B37" s="410">
        <v>1</v>
      </c>
      <c r="C37" s="19" t="s">
        <v>4581</v>
      </c>
      <c r="D37" s="19" t="s">
        <v>1094</v>
      </c>
      <c r="E37" s="19" t="s">
        <v>1777</v>
      </c>
      <c r="F37" s="19" t="str">
        <f>"0,7766"</f>
        <v>0,7766</v>
      </c>
      <c r="G37" s="19" t="s">
        <v>31</v>
      </c>
      <c r="H37" s="19" t="s">
        <v>222</v>
      </c>
      <c r="I37" s="139" t="s">
        <v>446</v>
      </c>
      <c r="J37" s="48" t="s">
        <v>88</v>
      </c>
      <c r="K37" s="48" t="s">
        <v>88</v>
      </c>
      <c r="L37" s="42"/>
      <c r="M37" s="139" t="s">
        <v>32</v>
      </c>
      <c r="N37" s="139" t="s">
        <v>49</v>
      </c>
      <c r="O37" s="139" t="s">
        <v>495</v>
      </c>
      <c r="P37" s="42"/>
      <c r="Q37" s="139" t="s">
        <v>551</v>
      </c>
      <c r="R37" s="139" t="s">
        <v>131</v>
      </c>
      <c r="S37" s="139" t="s">
        <v>297</v>
      </c>
      <c r="T37" s="42"/>
      <c r="U37" s="43">
        <v>360</v>
      </c>
      <c r="V37" s="41" t="s">
        <v>2225</v>
      </c>
      <c r="W37" s="19" t="s">
        <v>1997</v>
      </c>
    </row>
    <row r="39" spans="3:22" ht="15.75">
      <c r="C39" s="541" t="s">
        <v>42</v>
      </c>
      <c r="D39" s="541"/>
      <c r="E39" s="541"/>
      <c r="F39" s="541"/>
      <c r="G39" s="541"/>
      <c r="H39" s="541"/>
      <c r="I39" s="541"/>
      <c r="J39" s="541"/>
      <c r="K39" s="541"/>
      <c r="L39" s="541"/>
      <c r="M39" s="541"/>
      <c r="N39" s="541"/>
      <c r="O39" s="541"/>
      <c r="P39" s="541"/>
      <c r="Q39" s="541"/>
      <c r="R39" s="541"/>
      <c r="S39" s="541"/>
      <c r="T39" s="541"/>
      <c r="U39" s="541"/>
      <c r="V39" s="541"/>
    </row>
    <row r="40" spans="1:23" ht="12.75">
      <c r="A40" s="29">
        <v>1</v>
      </c>
      <c r="C40" s="17" t="s">
        <v>4582</v>
      </c>
      <c r="D40" s="17" t="s">
        <v>1096</v>
      </c>
      <c r="E40" s="17" t="s">
        <v>1771</v>
      </c>
      <c r="F40" s="17" t="str">
        <f>"0,7322"</f>
        <v>0,7322</v>
      </c>
      <c r="G40" s="17" t="s">
        <v>31</v>
      </c>
      <c r="H40" s="17" t="s">
        <v>1903</v>
      </c>
      <c r="I40" s="138" t="s">
        <v>127</v>
      </c>
      <c r="J40" s="138" t="s">
        <v>176</v>
      </c>
      <c r="K40" s="46" t="s">
        <v>190</v>
      </c>
      <c r="L40" s="36"/>
      <c r="M40" s="138" t="s">
        <v>88</v>
      </c>
      <c r="N40" s="46" t="s">
        <v>100</v>
      </c>
      <c r="O40" s="46" t="s">
        <v>100</v>
      </c>
      <c r="P40" s="36"/>
      <c r="Q40" s="138" t="s">
        <v>121</v>
      </c>
      <c r="R40" s="138" t="s">
        <v>191</v>
      </c>
      <c r="S40" s="46" t="s">
        <v>237</v>
      </c>
      <c r="T40" s="36"/>
      <c r="U40" s="44">
        <v>522.5</v>
      </c>
      <c r="V40" s="35" t="str">
        <f>"382,5745"</f>
        <v>382,5745</v>
      </c>
      <c r="W40" s="17" t="s">
        <v>2000</v>
      </c>
    </row>
    <row r="41" spans="1:23" ht="12.75">
      <c r="A41" s="29">
        <v>2</v>
      </c>
      <c r="C41" s="18" t="s">
        <v>4583</v>
      </c>
      <c r="D41" s="18" t="s">
        <v>1098</v>
      </c>
      <c r="E41" s="18" t="s">
        <v>1976</v>
      </c>
      <c r="F41" s="18" t="str">
        <f>"0,7414"</f>
        <v>0,7414</v>
      </c>
      <c r="G41" s="18" t="s">
        <v>31</v>
      </c>
      <c r="H41" s="18" t="s">
        <v>1903</v>
      </c>
      <c r="I41" s="140" t="s">
        <v>64</v>
      </c>
      <c r="J41" s="140" t="s">
        <v>153</v>
      </c>
      <c r="K41" s="140" t="s">
        <v>126</v>
      </c>
      <c r="L41" s="39"/>
      <c r="M41" s="140" t="s">
        <v>471</v>
      </c>
      <c r="N41" s="140" t="s">
        <v>446</v>
      </c>
      <c r="O41" s="47" t="s">
        <v>528</v>
      </c>
      <c r="P41" s="39"/>
      <c r="Q41" s="140" t="s">
        <v>132</v>
      </c>
      <c r="R41" s="140" t="s">
        <v>153</v>
      </c>
      <c r="S41" s="140" t="s">
        <v>108</v>
      </c>
      <c r="T41" s="39"/>
      <c r="U41" s="40">
        <v>480</v>
      </c>
      <c r="V41" s="38" t="str">
        <f>"355,8720"</f>
        <v>355,8720</v>
      </c>
      <c r="W41" s="18" t="s">
        <v>51</v>
      </c>
    </row>
    <row r="42" spans="1:23" ht="12.75">
      <c r="A42" s="29">
        <v>1</v>
      </c>
      <c r="C42" s="18" t="s">
        <v>4584</v>
      </c>
      <c r="D42" s="18" t="s">
        <v>1100</v>
      </c>
      <c r="E42" s="18" t="s">
        <v>1652</v>
      </c>
      <c r="F42" s="18" t="str">
        <f>"0,7179"</f>
        <v>0,7179</v>
      </c>
      <c r="G42" s="18" t="s">
        <v>31</v>
      </c>
      <c r="H42" s="18" t="s">
        <v>1101</v>
      </c>
      <c r="I42" s="140" t="s">
        <v>153</v>
      </c>
      <c r="J42" s="47" t="s">
        <v>127</v>
      </c>
      <c r="K42" s="140" t="s">
        <v>127</v>
      </c>
      <c r="L42" s="39"/>
      <c r="M42" s="140" t="s">
        <v>447</v>
      </c>
      <c r="N42" s="140" t="s">
        <v>101</v>
      </c>
      <c r="O42" s="47" t="s">
        <v>1102</v>
      </c>
      <c r="P42" s="39"/>
      <c r="Q42" s="140" t="s">
        <v>190</v>
      </c>
      <c r="R42" s="140" t="s">
        <v>237</v>
      </c>
      <c r="S42" s="140" t="s">
        <v>245</v>
      </c>
      <c r="T42" s="140" t="s">
        <v>238</v>
      </c>
      <c r="U42" s="40">
        <v>537.5</v>
      </c>
      <c r="V42" s="38" t="str">
        <f>"385,8712"</f>
        <v>385,8712</v>
      </c>
      <c r="W42" s="18" t="s">
        <v>51</v>
      </c>
    </row>
    <row r="43" spans="3:23" ht="12.75">
      <c r="C43" s="19" t="s">
        <v>1103</v>
      </c>
      <c r="D43" s="19" t="s">
        <v>1104</v>
      </c>
      <c r="E43" s="19" t="s">
        <v>56</v>
      </c>
      <c r="F43" s="19" t="str">
        <f>"0,7300"</f>
        <v>0,7300</v>
      </c>
      <c r="G43" s="19" t="s">
        <v>31</v>
      </c>
      <c r="H43" s="19" t="s">
        <v>887</v>
      </c>
      <c r="I43" s="48" t="s">
        <v>153</v>
      </c>
      <c r="J43" s="48" t="s">
        <v>153</v>
      </c>
      <c r="K43" s="48" t="s">
        <v>153</v>
      </c>
      <c r="L43" s="42"/>
      <c r="M43" s="42"/>
      <c r="N43" s="42"/>
      <c r="O43" s="42"/>
      <c r="P43" s="42"/>
      <c r="Q43" s="42"/>
      <c r="R43" s="42"/>
      <c r="S43" s="42"/>
      <c r="T43" s="42"/>
      <c r="U43" s="51">
        <v>0</v>
      </c>
      <c r="V43" s="41" t="s">
        <v>1639</v>
      </c>
      <c r="W43" s="19" t="s">
        <v>51</v>
      </c>
    </row>
    <row r="45" spans="3:22" ht="15.75">
      <c r="C45" s="541" t="s">
        <v>116</v>
      </c>
      <c r="D45" s="541"/>
      <c r="E45" s="541"/>
      <c r="F45" s="541"/>
      <c r="G45" s="541"/>
      <c r="H45" s="541"/>
      <c r="I45" s="541"/>
      <c r="J45" s="541"/>
      <c r="K45" s="541"/>
      <c r="L45" s="541"/>
      <c r="M45" s="541"/>
      <c r="N45" s="541"/>
      <c r="O45" s="541"/>
      <c r="P45" s="541"/>
      <c r="Q45" s="541"/>
      <c r="R45" s="541"/>
      <c r="S45" s="541"/>
      <c r="T45" s="541"/>
      <c r="U45" s="541"/>
      <c r="V45" s="541"/>
    </row>
    <row r="46" spans="1:23" ht="12.75">
      <c r="A46" s="29">
        <v>1</v>
      </c>
      <c r="B46" s="410">
        <v>12</v>
      </c>
      <c r="C46" s="17" t="s">
        <v>4494</v>
      </c>
      <c r="D46" s="88" t="s">
        <v>1106</v>
      </c>
      <c r="E46" s="17" t="s">
        <v>1977</v>
      </c>
      <c r="F46" s="17" t="str">
        <f>"0,6764"</f>
        <v>0,6764</v>
      </c>
      <c r="G46" s="17" t="s">
        <v>54</v>
      </c>
      <c r="H46" s="83" t="s">
        <v>1107</v>
      </c>
      <c r="I46" s="138" t="s">
        <v>108</v>
      </c>
      <c r="J46" s="147" t="s">
        <v>190</v>
      </c>
      <c r="K46" s="138" t="s">
        <v>121</v>
      </c>
      <c r="L46" s="86"/>
      <c r="M46" s="138" t="s">
        <v>88</v>
      </c>
      <c r="N46" s="147" t="s">
        <v>447</v>
      </c>
      <c r="O46" s="138" t="s">
        <v>100</v>
      </c>
      <c r="P46" s="86"/>
      <c r="Q46" s="147" t="s">
        <v>120</v>
      </c>
      <c r="R46" s="138" t="s">
        <v>121</v>
      </c>
      <c r="S46" s="147" t="s">
        <v>191</v>
      </c>
      <c r="T46" s="138" t="s">
        <v>192</v>
      </c>
      <c r="U46" s="151">
        <v>542.5</v>
      </c>
      <c r="V46" s="35" t="str">
        <f>"366,9470"</f>
        <v>366,9470</v>
      </c>
      <c r="W46" s="88" t="s">
        <v>1108</v>
      </c>
    </row>
    <row r="47" spans="1:23" ht="12.75">
      <c r="A47" s="29">
        <v>1</v>
      </c>
      <c r="B47" s="410">
        <v>12</v>
      </c>
      <c r="C47" s="18" t="s">
        <v>4494</v>
      </c>
      <c r="D47" s="93" t="s">
        <v>1116</v>
      </c>
      <c r="E47" s="18" t="s">
        <v>1787</v>
      </c>
      <c r="F47" s="18" t="str">
        <f>"0,6749"</f>
        <v>0,6749</v>
      </c>
      <c r="G47" s="18" t="s">
        <v>54</v>
      </c>
      <c r="H47" s="92" t="s">
        <v>1107</v>
      </c>
      <c r="I47" s="140" t="s">
        <v>108</v>
      </c>
      <c r="J47" s="146" t="s">
        <v>190</v>
      </c>
      <c r="K47" s="140" t="s">
        <v>121</v>
      </c>
      <c r="L47" s="81"/>
      <c r="M47" s="140" t="s">
        <v>88</v>
      </c>
      <c r="N47" s="146" t="s">
        <v>447</v>
      </c>
      <c r="O47" s="140" t="s">
        <v>100</v>
      </c>
      <c r="P47" s="81"/>
      <c r="Q47" s="146" t="s">
        <v>120</v>
      </c>
      <c r="R47" s="140" t="s">
        <v>121</v>
      </c>
      <c r="S47" s="146" t="s">
        <v>191</v>
      </c>
      <c r="T47" s="140" t="s">
        <v>192</v>
      </c>
      <c r="U47" s="150">
        <v>542.5</v>
      </c>
      <c r="V47" s="38" t="str">
        <f>"366,9470"</f>
        <v>366,9470</v>
      </c>
      <c r="W47" s="93" t="s">
        <v>1108</v>
      </c>
    </row>
    <row r="48" spans="1:23" ht="12.75">
      <c r="A48" s="29">
        <v>2</v>
      </c>
      <c r="C48" s="18" t="s">
        <v>4495</v>
      </c>
      <c r="D48" s="93" t="s">
        <v>1110</v>
      </c>
      <c r="E48" s="18" t="s">
        <v>1634</v>
      </c>
      <c r="F48" s="18" t="str">
        <f>"0,6785"</f>
        <v>0,6785</v>
      </c>
      <c r="G48" s="18" t="s">
        <v>31</v>
      </c>
      <c r="H48" s="18" t="s">
        <v>135</v>
      </c>
      <c r="I48" s="140" t="s">
        <v>190</v>
      </c>
      <c r="J48" s="140" t="s">
        <v>191</v>
      </c>
      <c r="K48" s="140" t="s">
        <v>818</v>
      </c>
      <c r="L48" s="39"/>
      <c r="M48" s="140" t="s">
        <v>88</v>
      </c>
      <c r="N48" s="140" t="s">
        <v>89</v>
      </c>
      <c r="O48" s="47" t="s">
        <v>551</v>
      </c>
      <c r="P48" s="39"/>
      <c r="Q48" s="140" t="s">
        <v>153</v>
      </c>
      <c r="R48" s="140" t="s">
        <v>175</v>
      </c>
      <c r="S48" s="47" t="s">
        <v>120</v>
      </c>
      <c r="T48" s="39"/>
      <c r="U48" s="40">
        <v>527.5</v>
      </c>
      <c r="V48" s="38" t="str">
        <f>"357,9087"</f>
        <v>357,9087</v>
      </c>
      <c r="W48" s="18" t="s">
        <v>51</v>
      </c>
    </row>
    <row r="49" spans="1:23" ht="12.75">
      <c r="A49" s="29">
        <v>3</v>
      </c>
      <c r="B49" s="410">
        <v>8</v>
      </c>
      <c r="C49" s="18" t="s">
        <v>3867</v>
      </c>
      <c r="D49" s="93" t="s">
        <v>1112</v>
      </c>
      <c r="E49" s="18" t="s">
        <v>1978</v>
      </c>
      <c r="F49" s="18" t="str">
        <f>"0,6744"</f>
        <v>0,6744</v>
      </c>
      <c r="G49" s="18" t="s">
        <v>483</v>
      </c>
      <c r="H49" s="18" t="s">
        <v>484</v>
      </c>
      <c r="I49" s="140" t="s">
        <v>132</v>
      </c>
      <c r="J49" s="140" t="s">
        <v>76</v>
      </c>
      <c r="K49" s="140" t="s">
        <v>77</v>
      </c>
      <c r="L49" s="39"/>
      <c r="M49" s="47" t="s">
        <v>446</v>
      </c>
      <c r="N49" s="140" t="s">
        <v>139</v>
      </c>
      <c r="O49" s="47" t="s">
        <v>100</v>
      </c>
      <c r="P49" s="39"/>
      <c r="Q49" s="140" t="s">
        <v>190</v>
      </c>
      <c r="R49" s="140" t="s">
        <v>245</v>
      </c>
      <c r="S49" s="140" t="s">
        <v>246</v>
      </c>
      <c r="T49" s="39"/>
      <c r="U49" s="40">
        <v>517.5</v>
      </c>
      <c r="V49" s="38" t="str">
        <f>"349,0020"</f>
        <v>349,0020</v>
      </c>
      <c r="W49" s="18" t="s">
        <v>51</v>
      </c>
    </row>
    <row r="50" spans="1:23" ht="12.75">
      <c r="A50" s="29">
        <v>4</v>
      </c>
      <c r="C50" s="18" t="s">
        <v>4585</v>
      </c>
      <c r="D50" s="93" t="s">
        <v>1113</v>
      </c>
      <c r="E50" s="18" t="s">
        <v>1979</v>
      </c>
      <c r="F50" s="18" t="str">
        <f>"0,6719"</f>
        <v>0,6719</v>
      </c>
      <c r="G50" s="18" t="s">
        <v>31</v>
      </c>
      <c r="H50" s="18" t="s">
        <v>1903</v>
      </c>
      <c r="I50" s="140" t="s">
        <v>77</v>
      </c>
      <c r="J50" s="47" t="s">
        <v>555</v>
      </c>
      <c r="K50" s="47" t="s">
        <v>555</v>
      </c>
      <c r="L50" s="39"/>
      <c r="M50" s="140" t="s">
        <v>24</v>
      </c>
      <c r="N50" s="140" t="s">
        <v>446</v>
      </c>
      <c r="O50" s="47" t="s">
        <v>528</v>
      </c>
      <c r="P50" s="39"/>
      <c r="Q50" s="140" t="s">
        <v>183</v>
      </c>
      <c r="R50" s="140" t="s">
        <v>126</v>
      </c>
      <c r="S50" s="140" t="s">
        <v>175</v>
      </c>
      <c r="T50" s="39"/>
      <c r="U50" s="40">
        <v>462.5</v>
      </c>
      <c r="V50" s="38" t="str">
        <f>"310,7537"</f>
        <v>310,7537</v>
      </c>
      <c r="W50" s="18" t="s">
        <v>1114</v>
      </c>
    </row>
    <row r="51" spans="1:23" ht="12.75">
      <c r="A51" s="29">
        <v>5</v>
      </c>
      <c r="B51" s="410">
        <v>6</v>
      </c>
      <c r="C51" s="18" t="s">
        <v>4496</v>
      </c>
      <c r="D51" s="93" t="s">
        <v>1115</v>
      </c>
      <c r="E51" s="18" t="s">
        <v>48</v>
      </c>
      <c r="F51" s="18" t="str">
        <f>"0,6827"</f>
        <v>0,6827</v>
      </c>
      <c r="G51" s="18" t="s">
        <v>130</v>
      </c>
      <c r="H51" s="18" t="s">
        <v>149</v>
      </c>
      <c r="I51" s="140" t="s">
        <v>551</v>
      </c>
      <c r="J51" s="140" t="s">
        <v>131</v>
      </c>
      <c r="K51" s="47" t="s">
        <v>297</v>
      </c>
      <c r="L51" s="39"/>
      <c r="M51" s="140" t="s">
        <v>49</v>
      </c>
      <c r="N51" s="47" t="s">
        <v>33</v>
      </c>
      <c r="O51" s="140" t="s">
        <v>33</v>
      </c>
      <c r="P51" s="39"/>
      <c r="Q51" s="140" t="s">
        <v>132</v>
      </c>
      <c r="R51" s="140" t="s">
        <v>183</v>
      </c>
      <c r="S51" s="140" t="s">
        <v>153</v>
      </c>
      <c r="T51" s="39"/>
      <c r="U51" s="40">
        <v>410</v>
      </c>
      <c r="V51" s="38" t="str">
        <f>"279,9070"</f>
        <v>279,9070</v>
      </c>
      <c r="W51" s="18" t="s">
        <v>1835</v>
      </c>
    </row>
    <row r="52" spans="3:23" ht="12.75">
      <c r="C52" s="18" t="s">
        <v>1117</v>
      </c>
      <c r="D52" s="93" t="s">
        <v>1118</v>
      </c>
      <c r="E52" s="18" t="s">
        <v>1980</v>
      </c>
      <c r="F52" s="18" t="str">
        <f>"0,6734"</f>
        <v>0,6734</v>
      </c>
      <c r="G52" s="18" t="s">
        <v>31</v>
      </c>
      <c r="H52" s="18" t="s">
        <v>1119</v>
      </c>
      <c r="I52" s="140" t="s">
        <v>126</v>
      </c>
      <c r="J52" s="140" t="s">
        <v>350</v>
      </c>
      <c r="K52" s="47" t="s">
        <v>635</v>
      </c>
      <c r="L52" s="39"/>
      <c r="M52" s="47" t="s">
        <v>446</v>
      </c>
      <c r="N52" s="47" t="s">
        <v>528</v>
      </c>
      <c r="O52" s="47" t="s">
        <v>528</v>
      </c>
      <c r="P52" s="39"/>
      <c r="Q52" s="39"/>
      <c r="R52" s="39"/>
      <c r="S52" s="39"/>
      <c r="T52" s="39"/>
      <c r="U52" s="52">
        <v>0</v>
      </c>
      <c r="V52" s="38" t="s">
        <v>1639</v>
      </c>
      <c r="W52" s="18" t="s">
        <v>1993</v>
      </c>
    </row>
    <row r="53" spans="3:23" ht="12.75">
      <c r="C53" s="18" t="s">
        <v>611</v>
      </c>
      <c r="D53" s="93" t="s">
        <v>612</v>
      </c>
      <c r="E53" s="18" t="s">
        <v>1979</v>
      </c>
      <c r="F53" s="18" t="str">
        <f>"0,6719"</f>
        <v>0,6719</v>
      </c>
      <c r="G53" s="18" t="s">
        <v>31</v>
      </c>
      <c r="H53" s="18" t="s">
        <v>1312</v>
      </c>
      <c r="I53" s="47" t="s">
        <v>175</v>
      </c>
      <c r="J53" s="47" t="s">
        <v>175</v>
      </c>
      <c r="K53" s="47" t="s">
        <v>175</v>
      </c>
      <c r="L53" s="39"/>
      <c r="M53" s="39"/>
      <c r="N53" s="39"/>
      <c r="O53" s="39"/>
      <c r="P53" s="39"/>
      <c r="Q53" s="39"/>
      <c r="R53" s="39"/>
      <c r="S53" s="39"/>
      <c r="T53" s="39"/>
      <c r="U53" s="52">
        <v>0</v>
      </c>
      <c r="V53" s="38" t="s">
        <v>1639</v>
      </c>
      <c r="W53" s="18" t="s">
        <v>2001</v>
      </c>
    </row>
    <row r="54" spans="1:23" ht="12.75">
      <c r="A54" s="29">
        <v>1</v>
      </c>
      <c r="B54" s="410">
        <v>12</v>
      </c>
      <c r="C54" s="19" t="s">
        <v>3867</v>
      </c>
      <c r="D54" s="95" t="s">
        <v>1120</v>
      </c>
      <c r="E54" s="19" t="s">
        <v>1978</v>
      </c>
      <c r="F54" s="19" t="str">
        <f>"0,6744"</f>
        <v>0,6744</v>
      </c>
      <c r="G54" s="19" t="s">
        <v>483</v>
      </c>
      <c r="H54" s="19" t="s">
        <v>484</v>
      </c>
      <c r="I54" s="139" t="s">
        <v>132</v>
      </c>
      <c r="J54" s="139" t="s">
        <v>76</v>
      </c>
      <c r="K54" s="139" t="s">
        <v>77</v>
      </c>
      <c r="L54" s="42"/>
      <c r="M54" s="48" t="s">
        <v>446</v>
      </c>
      <c r="N54" s="139" t="s">
        <v>139</v>
      </c>
      <c r="O54" s="48" t="s">
        <v>100</v>
      </c>
      <c r="P54" s="42"/>
      <c r="Q54" s="139" t="s">
        <v>190</v>
      </c>
      <c r="R54" s="139" t="s">
        <v>245</v>
      </c>
      <c r="S54" s="139" t="s">
        <v>246</v>
      </c>
      <c r="T54" s="42"/>
      <c r="U54" s="43">
        <v>517.5</v>
      </c>
      <c r="V54" s="428" t="s">
        <v>4106</v>
      </c>
      <c r="W54" s="19" t="s">
        <v>51</v>
      </c>
    </row>
    <row r="56" spans="3:22" ht="15.75">
      <c r="C56" s="541" t="s">
        <v>59</v>
      </c>
      <c r="D56" s="541"/>
      <c r="E56" s="541"/>
      <c r="F56" s="541"/>
      <c r="G56" s="541"/>
      <c r="H56" s="541"/>
      <c r="I56" s="541"/>
      <c r="J56" s="541"/>
      <c r="K56" s="541"/>
      <c r="L56" s="541"/>
      <c r="M56" s="541"/>
      <c r="N56" s="541"/>
      <c r="O56" s="541"/>
      <c r="P56" s="541"/>
      <c r="Q56" s="541"/>
      <c r="R56" s="541"/>
      <c r="S56" s="541"/>
      <c r="T56" s="541"/>
      <c r="U56" s="541"/>
      <c r="V56" s="541"/>
    </row>
    <row r="57" spans="1:23" ht="12.75">
      <c r="A57" s="29">
        <v>1</v>
      </c>
      <c r="C57" s="17" t="s">
        <v>4587</v>
      </c>
      <c r="D57" s="17" t="s">
        <v>1121</v>
      </c>
      <c r="E57" s="17" t="s">
        <v>1981</v>
      </c>
      <c r="F57" s="17" t="str">
        <f>"0,6637"</f>
        <v>0,6637</v>
      </c>
      <c r="G57" s="17" t="s">
        <v>31</v>
      </c>
      <c r="H57" s="54" t="s">
        <v>119</v>
      </c>
      <c r="I57" s="138" t="s">
        <v>126</v>
      </c>
      <c r="J57" s="46" t="s">
        <v>127</v>
      </c>
      <c r="K57" s="46" t="s">
        <v>127</v>
      </c>
      <c r="L57" s="36"/>
      <c r="M57" s="138" t="s">
        <v>446</v>
      </c>
      <c r="N57" s="46" t="s">
        <v>88</v>
      </c>
      <c r="O57" s="46" t="s">
        <v>88</v>
      </c>
      <c r="P57" s="36"/>
      <c r="Q57" s="138" t="s">
        <v>175</v>
      </c>
      <c r="R57" s="138" t="s">
        <v>108</v>
      </c>
      <c r="S57" s="138" t="s">
        <v>120</v>
      </c>
      <c r="T57" s="36"/>
      <c r="U57" s="37">
        <v>485</v>
      </c>
      <c r="V57" s="35" t="s">
        <v>2223</v>
      </c>
      <c r="W57" s="17" t="s">
        <v>2002</v>
      </c>
    </row>
    <row r="58" spans="1:23" ht="12.75">
      <c r="A58" s="29">
        <v>1</v>
      </c>
      <c r="C58" s="18" t="s">
        <v>4586</v>
      </c>
      <c r="D58" s="18" t="s">
        <v>1123</v>
      </c>
      <c r="E58" s="18" t="s">
        <v>1677</v>
      </c>
      <c r="F58" s="18" t="str">
        <f>"0,6410"</f>
        <v>0,6410</v>
      </c>
      <c r="G58" s="18" t="s">
        <v>31</v>
      </c>
      <c r="H58" s="18" t="s">
        <v>135</v>
      </c>
      <c r="I58" s="140" t="s">
        <v>132</v>
      </c>
      <c r="J58" s="140" t="s">
        <v>64</v>
      </c>
      <c r="K58" s="140" t="s">
        <v>153</v>
      </c>
      <c r="L58" s="39"/>
      <c r="M58" s="140" t="s">
        <v>89</v>
      </c>
      <c r="N58" s="140" t="s">
        <v>551</v>
      </c>
      <c r="O58" s="140" t="s">
        <v>480</v>
      </c>
      <c r="P58" s="39"/>
      <c r="Q58" s="140" t="s">
        <v>127</v>
      </c>
      <c r="R58" s="140" t="s">
        <v>108</v>
      </c>
      <c r="S58" s="140" t="s">
        <v>190</v>
      </c>
      <c r="T58" s="39"/>
      <c r="U58" s="40">
        <v>510</v>
      </c>
      <c r="V58" s="38" t="str">
        <f>"326,9100"</f>
        <v>326,9100</v>
      </c>
      <c r="W58" s="18" t="s">
        <v>2003</v>
      </c>
    </row>
    <row r="59" spans="1:23" ht="12.75">
      <c r="A59" s="29">
        <v>1</v>
      </c>
      <c r="C59" s="18" t="s">
        <v>4588</v>
      </c>
      <c r="D59" s="18" t="s">
        <v>1129</v>
      </c>
      <c r="E59" s="18" t="s">
        <v>1982</v>
      </c>
      <c r="F59" s="18" t="str">
        <f>"0,6447"</f>
        <v>0,6447</v>
      </c>
      <c r="G59" s="18" t="s">
        <v>31</v>
      </c>
      <c r="H59" s="18" t="s">
        <v>2244</v>
      </c>
      <c r="I59" s="56" t="s">
        <v>884</v>
      </c>
      <c r="J59" s="140" t="s">
        <v>884</v>
      </c>
      <c r="K59" s="47" t="s">
        <v>341</v>
      </c>
      <c r="L59" s="39"/>
      <c r="M59" s="140" t="s">
        <v>126</v>
      </c>
      <c r="N59" s="140" t="s">
        <v>350</v>
      </c>
      <c r="O59" s="47" t="s">
        <v>635</v>
      </c>
      <c r="P59" s="39"/>
      <c r="Q59" s="140" t="s">
        <v>913</v>
      </c>
      <c r="R59" s="47" t="s">
        <v>860</v>
      </c>
      <c r="S59" s="47" t="s">
        <v>860</v>
      </c>
      <c r="T59" s="39"/>
      <c r="U59" s="52">
        <v>717.5</v>
      </c>
      <c r="V59" s="38" t="s">
        <v>2224</v>
      </c>
      <c r="W59" s="18" t="s">
        <v>51</v>
      </c>
    </row>
    <row r="60" spans="1:23" ht="12.75">
      <c r="A60" s="29">
        <v>2</v>
      </c>
      <c r="C60" s="18" t="s">
        <v>3884</v>
      </c>
      <c r="D60" s="18" t="s">
        <v>156</v>
      </c>
      <c r="E60" s="18" t="s">
        <v>1677</v>
      </c>
      <c r="F60" s="18" t="str">
        <f>"0,6410"</f>
        <v>0,6410</v>
      </c>
      <c r="G60" s="18" t="s">
        <v>31</v>
      </c>
      <c r="H60" s="18" t="s">
        <v>1675</v>
      </c>
      <c r="I60" s="140" t="s">
        <v>237</v>
      </c>
      <c r="J60" s="140" t="s">
        <v>238</v>
      </c>
      <c r="K60" s="140" t="s">
        <v>239</v>
      </c>
      <c r="L60" s="39"/>
      <c r="M60" s="140" t="s">
        <v>64</v>
      </c>
      <c r="N60" s="140" t="s">
        <v>153</v>
      </c>
      <c r="O60" s="140" t="s">
        <v>126</v>
      </c>
      <c r="P60" s="39"/>
      <c r="Q60" s="140" t="s">
        <v>319</v>
      </c>
      <c r="R60" s="140" t="s">
        <v>992</v>
      </c>
      <c r="S60" s="47" t="s">
        <v>846</v>
      </c>
      <c r="T60" s="39"/>
      <c r="U60" s="40">
        <v>675</v>
      </c>
      <c r="V60" s="38" t="str">
        <f>"432,6750"</f>
        <v>432,6750</v>
      </c>
      <c r="W60" s="18" t="s">
        <v>158</v>
      </c>
    </row>
    <row r="61" spans="1:23" ht="12.75">
      <c r="A61" s="29">
        <v>3</v>
      </c>
      <c r="C61" s="18" t="s">
        <v>4589</v>
      </c>
      <c r="D61" s="18" t="s">
        <v>1124</v>
      </c>
      <c r="E61" s="18" t="s">
        <v>1901</v>
      </c>
      <c r="F61" s="18" t="str">
        <f>"0,6455"</f>
        <v>0,6455</v>
      </c>
      <c r="G61" s="18" t="s">
        <v>31</v>
      </c>
      <c r="H61" s="18" t="s">
        <v>1903</v>
      </c>
      <c r="I61" s="140" t="s">
        <v>108</v>
      </c>
      <c r="J61" s="140" t="s">
        <v>191</v>
      </c>
      <c r="K61" s="140" t="s">
        <v>237</v>
      </c>
      <c r="L61" s="39"/>
      <c r="M61" s="140" t="s">
        <v>64</v>
      </c>
      <c r="N61" s="47" t="s">
        <v>126</v>
      </c>
      <c r="O61" s="47" t="s">
        <v>126</v>
      </c>
      <c r="P61" s="39"/>
      <c r="Q61" s="140" t="s">
        <v>238</v>
      </c>
      <c r="R61" s="140" t="s">
        <v>884</v>
      </c>
      <c r="S61" s="140" t="s">
        <v>992</v>
      </c>
      <c r="T61" s="39"/>
      <c r="U61" s="40">
        <v>645</v>
      </c>
      <c r="V61" s="38" t="str">
        <f>"416,3475"</f>
        <v>416,3475</v>
      </c>
      <c r="W61" s="18" t="s">
        <v>51</v>
      </c>
    </row>
    <row r="62" spans="1:23" ht="12.75">
      <c r="A62" s="29">
        <v>4</v>
      </c>
      <c r="B62" s="410">
        <v>7</v>
      </c>
      <c r="C62" s="18" t="s">
        <v>4497</v>
      </c>
      <c r="D62" s="18" t="s">
        <v>1125</v>
      </c>
      <c r="E62" s="18" t="s">
        <v>1982</v>
      </c>
      <c r="F62" s="18" t="str">
        <f>"0,6447"</f>
        <v>0,6447</v>
      </c>
      <c r="G62" s="18" t="s">
        <v>54</v>
      </c>
      <c r="H62" s="18" t="s">
        <v>1737</v>
      </c>
      <c r="I62" s="140" t="s">
        <v>126</v>
      </c>
      <c r="J62" s="140" t="s">
        <v>350</v>
      </c>
      <c r="K62" s="140" t="s">
        <v>108</v>
      </c>
      <c r="L62" s="39"/>
      <c r="M62" s="140" t="s">
        <v>89</v>
      </c>
      <c r="N62" s="140" t="s">
        <v>551</v>
      </c>
      <c r="O62" s="47" t="s">
        <v>480</v>
      </c>
      <c r="P62" s="39"/>
      <c r="Q62" s="140" t="s">
        <v>245</v>
      </c>
      <c r="R62" s="47" t="s">
        <v>239</v>
      </c>
      <c r="S62" s="140" t="s">
        <v>239</v>
      </c>
      <c r="T62" s="39"/>
      <c r="U62" s="40">
        <v>560</v>
      </c>
      <c r="V62" s="38" t="str">
        <f>"361,0320"</f>
        <v>361,0320</v>
      </c>
      <c r="W62" s="18" t="s">
        <v>1999</v>
      </c>
    </row>
    <row r="63" spans="1:23" ht="12.75">
      <c r="A63" s="29">
        <v>5</v>
      </c>
      <c r="C63" s="18" t="s">
        <v>4590</v>
      </c>
      <c r="D63" s="18" t="s">
        <v>1126</v>
      </c>
      <c r="E63" s="18" t="s">
        <v>1983</v>
      </c>
      <c r="F63" s="18" t="str">
        <f>"0,6545"</f>
        <v>0,6545</v>
      </c>
      <c r="G63" s="18" t="s">
        <v>31</v>
      </c>
      <c r="H63" s="18" t="s">
        <v>1903</v>
      </c>
      <c r="I63" s="140" t="s">
        <v>64</v>
      </c>
      <c r="J63" s="140" t="s">
        <v>555</v>
      </c>
      <c r="K63" s="47" t="s">
        <v>269</v>
      </c>
      <c r="L63" s="39"/>
      <c r="M63" s="140" t="s">
        <v>89</v>
      </c>
      <c r="N63" s="47" t="s">
        <v>551</v>
      </c>
      <c r="O63" s="140" t="s">
        <v>551</v>
      </c>
      <c r="P63" s="39"/>
      <c r="Q63" s="140" t="s">
        <v>190</v>
      </c>
      <c r="R63" s="140" t="s">
        <v>818</v>
      </c>
      <c r="S63" s="47" t="s">
        <v>237</v>
      </c>
      <c r="T63" s="39"/>
      <c r="U63" s="40">
        <v>520</v>
      </c>
      <c r="V63" s="38" t="str">
        <f>"340,3400"</f>
        <v>340,3400</v>
      </c>
      <c r="W63" s="18" t="s">
        <v>51</v>
      </c>
    </row>
    <row r="64" spans="1:23" ht="12.75">
      <c r="A64" s="29">
        <v>6</v>
      </c>
      <c r="B64" s="410">
        <v>5</v>
      </c>
      <c r="C64" s="18" t="s">
        <v>3873</v>
      </c>
      <c r="D64" s="18" t="s">
        <v>1127</v>
      </c>
      <c r="E64" s="18" t="s">
        <v>1792</v>
      </c>
      <c r="F64" s="18" t="str">
        <f>"0,6511"</f>
        <v>0,6511</v>
      </c>
      <c r="G64" s="18" t="s">
        <v>483</v>
      </c>
      <c r="H64" s="18" t="s">
        <v>484</v>
      </c>
      <c r="I64" s="140" t="s">
        <v>598</v>
      </c>
      <c r="J64" s="140" t="s">
        <v>131</v>
      </c>
      <c r="K64" s="140" t="s">
        <v>132</v>
      </c>
      <c r="L64" s="39"/>
      <c r="M64" s="140" t="s">
        <v>544</v>
      </c>
      <c r="N64" s="140" t="s">
        <v>88</v>
      </c>
      <c r="O64" s="47" t="s">
        <v>447</v>
      </c>
      <c r="P64" s="39"/>
      <c r="Q64" s="140" t="s">
        <v>109</v>
      </c>
      <c r="R64" s="140" t="s">
        <v>192</v>
      </c>
      <c r="S64" s="47" t="s">
        <v>238</v>
      </c>
      <c r="T64" s="39"/>
      <c r="U64" s="40">
        <v>485</v>
      </c>
      <c r="V64" s="38" t="str">
        <f>"315,7835"</f>
        <v>315,7835</v>
      </c>
      <c r="W64" s="18" t="s">
        <v>2004</v>
      </c>
    </row>
    <row r="65" spans="1:23" ht="12.75">
      <c r="A65" s="29">
        <v>1</v>
      </c>
      <c r="C65" s="19" t="s">
        <v>4591</v>
      </c>
      <c r="D65" s="19" t="s">
        <v>1130</v>
      </c>
      <c r="E65" s="19" t="s">
        <v>1984</v>
      </c>
      <c r="F65" s="19" t="str">
        <f>"0,6483"</f>
        <v>0,6483</v>
      </c>
      <c r="G65" s="19" t="s">
        <v>31</v>
      </c>
      <c r="H65" s="19" t="s">
        <v>1903</v>
      </c>
      <c r="I65" s="139" t="s">
        <v>64</v>
      </c>
      <c r="J65" s="139" t="s">
        <v>153</v>
      </c>
      <c r="K65" s="139" t="s">
        <v>269</v>
      </c>
      <c r="L65" s="42"/>
      <c r="M65" s="139" t="s">
        <v>446</v>
      </c>
      <c r="N65" s="48" t="s">
        <v>139</v>
      </c>
      <c r="O65" s="48" t="s">
        <v>139</v>
      </c>
      <c r="P65" s="42"/>
      <c r="Q65" s="139" t="s">
        <v>175</v>
      </c>
      <c r="R65" s="139" t="s">
        <v>169</v>
      </c>
      <c r="S65" s="48" t="s">
        <v>202</v>
      </c>
      <c r="T65" s="42"/>
      <c r="U65" s="43">
        <v>490</v>
      </c>
      <c r="V65" s="41" t="str">
        <f>"336,7270"</f>
        <v>336,7270</v>
      </c>
      <c r="W65" s="19" t="s">
        <v>2005</v>
      </c>
    </row>
    <row r="67" spans="3:22" ht="15.75">
      <c r="C67" s="541" t="s">
        <v>164</v>
      </c>
      <c r="D67" s="541"/>
      <c r="E67" s="541"/>
      <c r="F67" s="541"/>
      <c r="G67" s="541"/>
      <c r="H67" s="541"/>
      <c r="I67" s="541"/>
      <c r="J67" s="541"/>
      <c r="K67" s="541"/>
      <c r="L67" s="541"/>
      <c r="M67" s="541"/>
      <c r="N67" s="541"/>
      <c r="O67" s="541"/>
      <c r="P67" s="541"/>
      <c r="Q67" s="541"/>
      <c r="R67" s="541"/>
      <c r="S67" s="541"/>
      <c r="T67" s="541"/>
      <c r="U67" s="541"/>
      <c r="V67" s="541"/>
    </row>
    <row r="68" spans="1:23" ht="12.75">
      <c r="A68" s="29">
        <v>1</v>
      </c>
      <c r="C68" s="17" t="s">
        <v>4592</v>
      </c>
      <c r="D68" s="17" t="s">
        <v>1131</v>
      </c>
      <c r="E68" s="84" t="s">
        <v>1985</v>
      </c>
      <c r="F68" s="17" t="str">
        <f>"0,6321"</f>
        <v>0,6321</v>
      </c>
      <c r="G68" s="84" t="s">
        <v>31</v>
      </c>
      <c r="H68" s="17" t="s">
        <v>1903</v>
      </c>
      <c r="I68" s="147" t="s">
        <v>175</v>
      </c>
      <c r="J68" s="138" t="s">
        <v>176</v>
      </c>
      <c r="K68" s="85" t="s">
        <v>190</v>
      </c>
      <c r="L68" s="36"/>
      <c r="M68" s="147" t="s">
        <v>100</v>
      </c>
      <c r="N68" s="46" t="s">
        <v>101</v>
      </c>
      <c r="O68" s="85" t="s">
        <v>101</v>
      </c>
      <c r="P68" s="36"/>
      <c r="Q68" s="147" t="s">
        <v>175</v>
      </c>
      <c r="R68" s="138" t="s">
        <v>176</v>
      </c>
      <c r="S68" s="85" t="s">
        <v>190</v>
      </c>
      <c r="T68" s="36"/>
      <c r="U68" s="151">
        <v>512.5</v>
      </c>
      <c r="V68" s="35" t="str">
        <f>"323,9512"</f>
        <v>323,9512</v>
      </c>
      <c r="W68" s="88" t="s">
        <v>51</v>
      </c>
    </row>
    <row r="69" spans="1:23" ht="12.75">
      <c r="A69" s="29">
        <v>1</v>
      </c>
      <c r="C69" s="18" t="s">
        <v>4593</v>
      </c>
      <c r="D69" s="18" t="s">
        <v>1132</v>
      </c>
      <c r="E69" s="79" t="s">
        <v>1986</v>
      </c>
      <c r="F69" s="18" t="str">
        <f>"0,6152"</f>
        <v>0,6152</v>
      </c>
      <c r="G69" s="79" t="s">
        <v>31</v>
      </c>
      <c r="H69" s="18" t="s">
        <v>1903</v>
      </c>
      <c r="I69" s="146" t="s">
        <v>153</v>
      </c>
      <c r="J69" s="140" t="s">
        <v>175</v>
      </c>
      <c r="K69" s="146" t="s">
        <v>120</v>
      </c>
      <c r="L69" s="39"/>
      <c r="M69" s="80" t="s">
        <v>183</v>
      </c>
      <c r="N69" s="140" t="s">
        <v>126</v>
      </c>
      <c r="O69" s="146" t="s">
        <v>127</v>
      </c>
      <c r="P69" s="39"/>
      <c r="Q69" s="146" t="s">
        <v>191</v>
      </c>
      <c r="R69" s="140" t="s">
        <v>237</v>
      </c>
      <c r="S69" s="146" t="s">
        <v>238</v>
      </c>
      <c r="T69" s="39"/>
      <c r="U69" s="150">
        <v>605</v>
      </c>
      <c r="V69" s="38" t="str">
        <f>"372,1960"</f>
        <v>372,1960</v>
      </c>
      <c r="W69" s="93" t="s">
        <v>51</v>
      </c>
    </row>
    <row r="70" spans="1:23" ht="12.75">
      <c r="A70" s="29">
        <v>2</v>
      </c>
      <c r="B70" s="410">
        <v>9</v>
      </c>
      <c r="C70" s="18" t="s">
        <v>4594</v>
      </c>
      <c r="D70" s="18" t="s">
        <v>1134</v>
      </c>
      <c r="E70" s="79" t="s">
        <v>1988</v>
      </c>
      <c r="F70" s="18" t="str">
        <f>"0,6214"</f>
        <v>0,6214</v>
      </c>
      <c r="G70" s="79" t="s">
        <v>14</v>
      </c>
      <c r="H70" s="18" t="s">
        <v>1903</v>
      </c>
      <c r="I70" s="146" t="s">
        <v>191</v>
      </c>
      <c r="J70" s="47" t="s">
        <v>237</v>
      </c>
      <c r="K70" s="80" t="s">
        <v>237</v>
      </c>
      <c r="L70" s="39"/>
      <c r="M70" s="80" t="s">
        <v>131</v>
      </c>
      <c r="N70" s="140" t="s">
        <v>811</v>
      </c>
      <c r="O70" s="80" t="s">
        <v>63</v>
      </c>
      <c r="P70" s="39"/>
      <c r="Q70" s="146" t="s">
        <v>237</v>
      </c>
      <c r="R70" s="140" t="s">
        <v>238</v>
      </c>
      <c r="S70" s="146" t="s">
        <v>991</v>
      </c>
      <c r="T70" s="39"/>
      <c r="U70" s="150">
        <v>600</v>
      </c>
      <c r="V70" s="38" t="s">
        <v>2226</v>
      </c>
      <c r="W70" s="93" t="s">
        <v>51</v>
      </c>
    </row>
    <row r="71" spans="1:23" ht="12.75">
      <c r="A71" s="29">
        <v>3</v>
      </c>
      <c r="C71" s="19" t="s">
        <v>4595</v>
      </c>
      <c r="D71" s="19" t="s">
        <v>1133</v>
      </c>
      <c r="E71" s="98" t="s">
        <v>1987</v>
      </c>
      <c r="F71" s="19" t="str">
        <f>"0,6147"</f>
        <v>0,6147</v>
      </c>
      <c r="G71" s="98" t="s">
        <v>31</v>
      </c>
      <c r="H71" s="19" t="s">
        <v>1903</v>
      </c>
      <c r="I71" s="148" t="s">
        <v>108</v>
      </c>
      <c r="J71" s="139" t="s">
        <v>191</v>
      </c>
      <c r="K71" s="153" t="s">
        <v>238</v>
      </c>
      <c r="L71" s="42"/>
      <c r="M71" s="148" t="s">
        <v>446</v>
      </c>
      <c r="N71" s="139" t="s">
        <v>447</v>
      </c>
      <c r="O71" s="153" t="s">
        <v>101</v>
      </c>
      <c r="P71" s="42"/>
      <c r="Q71" s="148" t="s">
        <v>237</v>
      </c>
      <c r="R71" s="139" t="s">
        <v>317</v>
      </c>
      <c r="S71" s="148" t="s">
        <v>319</v>
      </c>
      <c r="T71" s="42"/>
      <c r="U71" s="152">
        <v>585</v>
      </c>
      <c r="V71" s="41" t="str">
        <f>"359,5995"</f>
        <v>359,5995</v>
      </c>
      <c r="W71" s="95" t="s">
        <v>51</v>
      </c>
    </row>
    <row r="73" spans="3:22" ht="15.75">
      <c r="C73" s="541" t="s">
        <v>227</v>
      </c>
      <c r="D73" s="541"/>
      <c r="E73" s="541"/>
      <c r="F73" s="541"/>
      <c r="G73" s="541"/>
      <c r="H73" s="541"/>
      <c r="I73" s="541"/>
      <c r="J73" s="541"/>
      <c r="K73" s="541"/>
      <c r="L73" s="541"/>
      <c r="M73" s="541"/>
      <c r="N73" s="541"/>
      <c r="O73" s="541"/>
      <c r="P73" s="541"/>
      <c r="Q73" s="541"/>
      <c r="R73" s="541"/>
      <c r="S73" s="541"/>
      <c r="T73" s="541"/>
      <c r="U73" s="541"/>
      <c r="V73" s="541"/>
    </row>
    <row r="74" spans="1:23" ht="12.75">
      <c r="A74" s="29">
        <v>1</v>
      </c>
      <c r="B74" s="410">
        <v>12</v>
      </c>
      <c r="C74" s="17" t="s">
        <v>4596</v>
      </c>
      <c r="D74" s="17" t="s">
        <v>1135</v>
      </c>
      <c r="E74" s="17" t="s">
        <v>1989</v>
      </c>
      <c r="F74" s="17" t="str">
        <f>"0,5909"</f>
        <v>0,5909</v>
      </c>
      <c r="G74" s="17" t="s">
        <v>14</v>
      </c>
      <c r="H74" s="17" t="s">
        <v>1903</v>
      </c>
      <c r="I74" s="46" t="s">
        <v>64</v>
      </c>
      <c r="J74" s="46" t="s">
        <v>64</v>
      </c>
      <c r="K74" s="138" t="s">
        <v>64</v>
      </c>
      <c r="L74" s="36"/>
      <c r="M74" s="138" t="s">
        <v>89</v>
      </c>
      <c r="N74" s="138" t="s">
        <v>480</v>
      </c>
      <c r="O74" s="138" t="s">
        <v>132</v>
      </c>
      <c r="P74" s="36"/>
      <c r="Q74" s="138" t="s">
        <v>153</v>
      </c>
      <c r="R74" s="138" t="s">
        <v>108</v>
      </c>
      <c r="S74" s="46" t="s">
        <v>191</v>
      </c>
      <c r="T74" s="36"/>
      <c r="U74" s="44">
        <v>500</v>
      </c>
      <c r="V74" s="35" t="str">
        <f>"295,4500"</f>
        <v>295,4500</v>
      </c>
      <c r="W74" s="17" t="s">
        <v>1664</v>
      </c>
    </row>
    <row r="75" spans="1:23" ht="12.75">
      <c r="A75" s="29">
        <v>1</v>
      </c>
      <c r="B75" s="410">
        <v>12</v>
      </c>
      <c r="C75" s="18" t="s">
        <v>4498</v>
      </c>
      <c r="D75" s="18" t="s">
        <v>1137</v>
      </c>
      <c r="E75" s="18" t="s">
        <v>1678</v>
      </c>
      <c r="F75" s="18" t="str">
        <f>"0,5903"</f>
        <v>0,5903</v>
      </c>
      <c r="G75" s="18" t="s">
        <v>130</v>
      </c>
      <c r="H75" s="18" t="s">
        <v>967</v>
      </c>
      <c r="I75" s="140" t="s">
        <v>126</v>
      </c>
      <c r="J75" s="47" t="s">
        <v>191</v>
      </c>
      <c r="K75" s="140" t="s">
        <v>818</v>
      </c>
      <c r="L75" s="39"/>
      <c r="M75" s="140" t="s">
        <v>471</v>
      </c>
      <c r="N75" s="47" t="s">
        <v>139</v>
      </c>
      <c r="O75" s="140" t="s">
        <v>447</v>
      </c>
      <c r="P75" s="39"/>
      <c r="Q75" s="140" t="s">
        <v>126</v>
      </c>
      <c r="R75" s="140" t="s">
        <v>238</v>
      </c>
      <c r="S75" s="140" t="s">
        <v>318</v>
      </c>
      <c r="T75" s="39"/>
      <c r="U75" s="40">
        <v>585</v>
      </c>
      <c r="V75" s="38" t="str">
        <f>"345,3255"</f>
        <v>345,3255</v>
      </c>
      <c r="W75" s="18" t="s">
        <v>51</v>
      </c>
    </row>
    <row r="76" spans="1:23" ht="12.75">
      <c r="A76" s="29">
        <v>1</v>
      </c>
      <c r="B76" s="410">
        <v>24</v>
      </c>
      <c r="C76" s="18" t="s">
        <v>4597</v>
      </c>
      <c r="D76" s="18" t="s">
        <v>1139</v>
      </c>
      <c r="E76" s="18" t="s">
        <v>1990</v>
      </c>
      <c r="F76" s="18" t="str">
        <f>"0,5966"</f>
        <v>0,5966</v>
      </c>
      <c r="G76" s="18" t="s">
        <v>130</v>
      </c>
      <c r="H76" s="18" t="s">
        <v>2245</v>
      </c>
      <c r="I76" s="140" t="s">
        <v>317</v>
      </c>
      <c r="J76" s="140" t="s">
        <v>319</v>
      </c>
      <c r="K76" s="140" t="s">
        <v>1140</v>
      </c>
      <c r="L76" s="39"/>
      <c r="M76" s="140" t="s">
        <v>183</v>
      </c>
      <c r="N76" s="140" t="s">
        <v>555</v>
      </c>
      <c r="O76" s="140" t="s">
        <v>269</v>
      </c>
      <c r="P76" s="39"/>
      <c r="Q76" s="140" t="s">
        <v>883</v>
      </c>
      <c r="R76" s="140" t="s">
        <v>884</v>
      </c>
      <c r="S76" s="140" t="s">
        <v>992</v>
      </c>
      <c r="T76" s="39"/>
      <c r="U76" s="40">
        <v>700</v>
      </c>
      <c r="V76" s="38" t="str">
        <f>"435,9953"</f>
        <v>435,9953</v>
      </c>
      <c r="W76" s="18" t="s">
        <v>51</v>
      </c>
    </row>
    <row r="77" spans="1:23" ht="12.75">
      <c r="A77" s="29">
        <v>1</v>
      </c>
      <c r="B77" s="410">
        <v>12</v>
      </c>
      <c r="C77" s="19" t="s">
        <v>4498</v>
      </c>
      <c r="D77" s="19" t="s">
        <v>1141</v>
      </c>
      <c r="E77" s="19" t="s">
        <v>1678</v>
      </c>
      <c r="F77" s="19" t="str">
        <f>"0,5903"</f>
        <v>0,5903</v>
      </c>
      <c r="G77" s="19" t="s">
        <v>130</v>
      </c>
      <c r="H77" s="19" t="s">
        <v>967</v>
      </c>
      <c r="I77" s="139" t="s">
        <v>126</v>
      </c>
      <c r="J77" s="48" t="s">
        <v>191</v>
      </c>
      <c r="K77" s="139" t="s">
        <v>818</v>
      </c>
      <c r="L77" s="42"/>
      <c r="M77" s="139" t="s">
        <v>471</v>
      </c>
      <c r="N77" s="48" t="s">
        <v>139</v>
      </c>
      <c r="O77" s="139" t="s">
        <v>447</v>
      </c>
      <c r="P77" s="42"/>
      <c r="Q77" s="139" t="s">
        <v>126</v>
      </c>
      <c r="R77" s="139" t="s">
        <v>238</v>
      </c>
      <c r="S77" s="139" t="s">
        <v>318</v>
      </c>
      <c r="T77" s="42"/>
      <c r="U77" s="43">
        <v>585</v>
      </c>
      <c r="V77" s="41" t="str">
        <f>"416,8079"</f>
        <v>416,8079</v>
      </c>
      <c r="W77" s="19" t="s">
        <v>51</v>
      </c>
    </row>
    <row r="79" spans="3:22" ht="15.75">
      <c r="C79" s="541" t="s">
        <v>304</v>
      </c>
      <c r="D79" s="541"/>
      <c r="E79" s="541"/>
      <c r="F79" s="541"/>
      <c r="G79" s="541"/>
      <c r="H79" s="541"/>
      <c r="I79" s="541"/>
      <c r="J79" s="541"/>
      <c r="K79" s="541"/>
      <c r="L79" s="541"/>
      <c r="M79" s="541"/>
      <c r="N79" s="541"/>
      <c r="O79" s="541"/>
      <c r="P79" s="541"/>
      <c r="Q79" s="541"/>
      <c r="R79" s="541"/>
      <c r="S79" s="541"/>
      <c r="T79" s="541"/>
      <c r="U79" s="541"/>
      <c r="V79" s="541"/>
    </row>
    <row r="80" spans="1:23" ht="12.75">
      <c r="A80" s="29">
        <v>1</v>
      </c>
      <c r="B80" s="410">
        <v>24</v>
      </c>
      <c r="C80" s="17" t="s">
        <v>4598</v>
      </c>
      <c r="D80" s="17" t="s">
        <v>1142</v>
      </c>
      <c r="E80" s="17" t="s">
        <v>1991</v>
      </c>
      <c r="F80" s="17" t="str">
        <f>"0,5746"</f>
        <v>0,5746</v>
      </c>
      <c r="G80" s="17" t="s">
        <v>54</v>
      </c>
      <c r="H80" s="17" t="s">
        <v>1737</v>
      </c>
      <c r="I80" s="138" t="s">
        <v>317</v>
      </c>
      <c r="J80" s="138" t="s">
        <v>319</v>
      </c>
      <c r="K80" s="138" t="s">
        <v>850</v>
      </c>
      <c r="L80" s="36"/>
      <c r="M80" s="138" t="s">
        <v>153</v>
      </c>
      <c r="N80" s="138" t="s">
        <v>127</v>
      </c>
      <c r="O80" s="138" t="s">
        <v>108</v>
      </c>
      <c r="P80" s="170"/>
      <c r="Q80" s="142" t="s">
        <v>317</v>
      </c>
      <c r="R80" s="138" t="s">
        <v>845</v>
      </c>
      <c r="S80" s="141" t="s">
        <v>341</v>
      </c>
      <c r="T80" s="121" t="s">
        <v>913</v>
      </c>
      <c r="U80" s="44">
        <v>727.5</v>
      </c>
      <c r="V80" s="35" t="str">
        <f>"418,0215"</f>
        <v>418,0215</v>
      </c>
      <c r="W80" s="17" t="s">
        <v>51</v>
      </c>
    </row>
    <row r="81" spans="1:23" ht="12.75">
      <c r="A81" s="29">
        <v>2</v>
      </c>
      <c r="C81" s="18" t="s">
        <v>4599</v>
      </c>
      <c r="D81" s="18" t="s">
        <v>1143</v>
      </c>
      <c r="E81" s="18" t="s">
        <v>1803</v>
      </c>
      <c r="F81" s="18" t="str">
        <f>"0,5721"</f>
        <v>0,5721</v>
      </c>
      <c r="G81" s="18" t="s">
        <v>31</v>
      </c>
      <c r="H81" s="18" t="s">
        <v>1903</v>
      </c>
      <c r="I81" s="140" t="s">
        <v>319</v>
      </c>
      <c r="J81" s="140" t="s">
        <v>845</v>
      </c>
      <c r="K81" s="47" t="s">
        <v>992</v>
      </c>
      <c r="L81" s="39"/>
      <c r="M81" s="140" t="s">
        <v>127</v>
      </c>
      <c r="N81" s="47" t="s">
        <v>108</v>
      </c>
      <c r="O81" s="47" t="s">
        <v>108</v>
      </c>
      <c r="P81" s="105"/>
      <c r="Q81" s="143" t="s">
        <v>845</v>
      </c>
      <c r="R81" s="140" t="s">
        <v>850</v>
      </c>
      <c r="S81" s="103" t="s">
        <v>913</v>
      </c>
      <c r="T81" s="102"/>
      <c r="U81" s="52">
        <v>707.5</v>
      </c>
      <c r="V81" s="38" t="s">
        <v>2227</v>
      </c>
      <c r="W81" s="18" t="s">
        <v>2006</v>
      </c>
    </row>
    <row r="82" spans="1:23" ht="12.75">
      <c r="A82" s="29">
        <v>3</v>
      </c>
      <c r="B82" s="410">
        <v>20</v>
      </c>
      <c r="C82" s="18" t="s">
        <v>4419</v>
      </c>
      <c r="D82" s="18" t="s">
        <v>730</v>
      </c>
      <c r="E82" s="18" t="s">
        <v>1679</v>
      </c>
      <c r="F82" s="18" t="str">
        <f>"0,5780"</f>
        <v>0,5780</v>
      </c>
      <c r="G82" s="18" t="s">
        <v>148</v>
      </c>
      <c r="H82" s="18" t="s">
        <v>149</v>
      </c>
      <c r="I82" s="140" t="s">
        <v>238</v>
      </c>
      <c r="J82" s="140" t="s">
        <v>319</v>
      </c>
      <c r="K82" s="140" t="s">
        <v>845</v>
      </c>
      <c r="L82" s="39"/>
      <c r="M82" s="140" t="s">
        <v>64</v>
      </c>
      <c r="N82" s="140" t="s">
        <v>153</v>
      </c>
      <c r="O82" s="140" t="s">
        <v>126</v>
      </c>
      <c r="P82" s="105"/>
      <c r="Q82" s="143" t="s">
        <v>238</v>
      </c>
      <c r="R82" s="140" t="s">
        <v>319</v>
      </c>
      <c r="S82" s="149" t="s">
        <v>368</v>
      </c>
      <c r="T82" s="102"/>
      <c r="U82" s="40">
        <v>687.5</v>
      </c>
      <c r="V82" s="38" t="str">
        <f>"397,3750"</f>
        <v>397,3750</v>
      </c>
      <c r="W82" s="18" t="s">
        <v>1674</v>
      </c>
    </row>
    <row r="83" spans="1:23" ht="12.75">
      <c r="A83" s="29">
        <v>1</v>
      </c>
      <c r="C83" s="19" t="s">
        <v>4600</v>
      </c>
      <c r="D83" s="19" t="s">
        <v>1144</v>
      </c>
      <c r="E83" s="19" t="s">
        <v>1992</v>
      </c>
      <c r="F83" s="19" t="str">
        <f>"0,5787"</f>
        <v>0,5787</v>
      </c>
      <c r="G83" s="19" t="s">
        <v>31</v>
      </c>
      <c r="H83" s="19" t="s">
        <v>1573</v>
      </c>
      <c r="I83" s="139" t="s">
        <v>239</v>
      </c>
      <c r="J83" s="139" t="s">
        <v>991</v>
      </c>
      <c r="K83" s="139" t="s">
        <v>319</v>
      </c>
      <c r="L83" s="42"/>
      <c r="M83" s="48" t="s">
        <v>297</v>
      </c>
      <c r="N83" s="139" t="s">
        <v>76</v>
      </c>
      <c r="O83" s="139" t="s">
        <v>64</v>
      </c>
      <c r="P83" s="158"/>
      <c r="Q83" s="144" t="s">
        <v>992</v>
      </c>
      <c r="R83" s="139" t="s">
        <v>846</v>
      </c>
      <c r="S83" s="109"/>
      <c r="T83" s="109"/>
      <c r="U83" s="43">
        <v>685</v>
      </c>
      <c r="V83" s="41" t="str">
        <f>"407,5090"</f>
        <v>407,5090</v>
      </c>
      <c r="W83" s="19" t="s">
        <v>1145</v>
      </c>
    </row>
    <row r="85" spans="3:22" ht="15.75">
      <c r="C85" s="541" t="s">
        <v>355</v>
      </c>
      <c r="D85" s="541"/>
      <c r="E85" s="541"/>
      <c r="F85" s="541"/>
      <c r="G85" s="541"/>
      <c r="H85" s="541"/>
      <c r="I85" s="541"/>
      <c r="J85" s="541"/>
      <c r="K85" s="541"/>
      <c r="L85" s="541"/>
      <c r="M85" s="541"/>
      <c r="N85" s="541"/>
      <c r="O85" s="541"/>
      <c r="P85" s="541"/>
      <c r="Q85" s="541"/>
      <c r="R85" s="541"/>
      <c r="S85" s="541"/>
      <c r="T85" s="541"/>
      <c r="U85" s="541"/>
      <c r="V85" s="541"/>
    </row>
    <row r="86" spans="1:23" ht="12.75">
      <c r="A86" s="29">
        <v>1</v>
      </c>
      <c r="C86" s="20" t="s">
        <v>4601</v>
      </c>
      <c r="D86" s="20" t="s">
        <v>1147</v>
      </c>
      <c r="E86" s="20" t="s">
        <v>1804</v>
      </c>
      <c r="F86" s="20" t="str">
        <f>"0,5668"</f>
        <v>0,5668</v>
      </c>
      <c r="G86" s="20" t="s">
        <v>31</v>
      </c>
      <c r="H86" s="20" t="s">
        <v>168</v>
      </c>
      <c r="I86" s="134" t="s">
        <v>238</v>
      </c>
      <c r="J86" s="134" t="s">
        <v>319</v>
      </c>
      <c r="K86" s="134" t="s">
        <v>845</v>
      </c>
      <c r="L86" s="31"/>
      <c r="M86" s="134" t="s">
        <v>153</v>
      </c>
      <c r="N86" s="134" t="s">
        <v>127</v>
      </c>
      <c r="O86" s="45" t="s">
        <v>175</v>
      </c>
      <c r="P86" s="31"/>
      <c r="Q86" s="134" t="s">
        <v>836</v>
      </c>
      <c r="R86" s="134" t="s">
        <v>920</v>
      </c>
      <c r="S86" s="45" t="s">
        <v>899</v>
      </c>
      <c r="T86" s="31"/>
      <c r="U86" s="34">
        <v>780</v>
      </c>
      <c r="V86" s="33" t="str">
        <f>"442,1040"</f>
        <v>442,1040</v>
      </c>
      <c r="W86" s="20" t="s">
        <v>1843</v>
      </c>
    </row>
    <row r="88" spans="3:4" ht="18">
      <c r="C88" s="16" t="s">
        <v>370</v>
      </c>
      <c r="D88" s="16"/>
    </row>
    <row r="89" spans="3:4" ht="15.75">
      <c r="C89" s="22" t="s">
        <v>371</v>
      </c>
      <c r="D89" s="22"/>
    </row>
    <row r="90" spans="3:4" ht="13.5">
      <c r="C90" s="24"/>
      <c r="D90" s="25" t="s">
        <v>2102</v>
      </c>
    </row>
    <row r="91" spans="3:7" ht="13.5">
      <c r="C91" s="26" t="s">
        <v>373</v>
      </c>
      <c r="D91" s="26" t="s">
        <v>374</v>
      </c>
      <c r="E91" s="26" t="s">
        <v>375</v>
      </c>
      <c r="F91" s="26" t="s">
        <v>376</v>
      </c>
      <c r="G91" s="26" t="s">
        <v>377</v>
      </c>
    </row>
    <row r="92" spans="1:7" ht="12.75">
      <c r="A92" s="29">
        <v>1</v>
      </c>
      <c r="C92" s="90" t="s">
        <v>1072</v>
      </c>
      <c r="D92" s="49" t="s">
        <v>395</v>
      </c>
      <c r="E92" s="49" t="s">
        <v>394</v>
      </c>
      <c r="F92" s="49" t="s">
        <v>318</v>
      </c>
      <c r="G92" s="50" t="s">
        <v>4103</v>
      </c>
    </row>
    <row r="93" spans="1:7" ht="12.75">
      <c r="A93" s="29">
        <v>2</v>
      </c>
      <c r="C93" s="90" t="s">
        <v>1070</v>
      </c>
      <c r="D93" s="49" t="s">
        <v>395</v>
      </c>
      <c r="E93" s="49" t="s">
        <v>394</v>
      </c>
      <c r="F93" s="49" t="s">
        <v>312</v>
      </c>
      <c r="G93" s="50" t="s">
        <v>1148</v>
      </c>
    </row>
    <row r="94" spans="1:7" ht="12.75">
      <c r="A94" s="29">
        <v>3</v>
      </c>
      <c r="C94" s="90" t="s">
        <v>1081</v>
      </c>
      <c r="D94" s="49" t="s">
        <v>395</v>
      </c>
      <c r="E94" s="49" t="s">
        <v>380</v>
      </c>
      <c r="F94" s="49" t="s">
        <v>931</v>
      </c>
      <c r="G94" s="50" t="s">
        <v>4104</v>
      </c>
    </row>
    <row r="95" spans="3:4" ht="13.5">
      <c r="C95" s="24"/>
      <c r="D95" s="25" t="s">
        <v>2102</v>
      </c>
    </row>
    <row r="96" spans="3:7" ht="13.5">
      <c r="C96" s="26" t="s">
        <v>373</v>
      </c>
      <c r="D96" s="26" t="s">
        <v>374</v>
      </c>
      <c r="E96" s="26" t="s">
        <v>375</v>
      </c>
      <c r="F96" s="26" t="s">
        <v>376</v>
      </c>
      <c r="G96" s="26" t="s">
        <v>377</v>
      </c>
    </row>
    <row r="97" spans="1:7" ht="12.75">
      <c r="A97" s="29">
        <v>1</v>
      </c>
      <c r="C97" s="90" t="s">
        <v>1079</v>
      </c>
      <c r="D97" s="49" t="s">
        <v>372</v>
      </c>
      <c r="E97" s="49" t="s">
        <v>764</v>
      </c>
      <c r="F97" s="49" t="s">
        <v>923</v>
      </c>
      <c r="G97" s="50" t="s">
        <v>1149</v>
      </c>
    </row>
    <row r="98" spans="1:7" ht="12.75">
      <c r="A98" s="29">
        <v>2</v>
      </c>
      <c r="C98" s="90" t="s">
        <v>1074</v>
      </c>
      <c r="D98" s="49" t="s">
        <v>372</v>
      </c>
      <c r="E98" s="49" t="s">
        <v>394</v>
      </c>
      <c r="F98" s="49" t="s">
        <v>1150</v>
      </c>
      <c r="G98" s="50" t="s">
        <v>1151</v>
      </c>
    </row>
    <row r="99" spans="1:7" ht="12.75">
      <c r="A99" s="29">
        <v>3</v>
      </c>
      <c r="C99" s="90" t="s">
        <v>1083</v>
      </c>
      <c r="D99" s="49" t="s">
        <v>372</v>
      </c>
      <c r="E99" s="49" t="s">
        <v>380</v>
      </c>
      <c r="F99" s="49" t="s">
        <v>914</v>
      </c>
      <c r="G99" s="50" t="s">
        <v>1152</v>
      </c>
    </row>
    <row r="101" spans="3:4" ht="15.75">
      <c r="C101" s="22" t="s">
        <v>387</v>
      </c>
      <c r="D101" s="22"/>
    </row>
    <row r="102" spans="3:4" ht="13.5">
      <c r="C102" s="24"/>
      <c r="D102" s="25" t="s">
        <v>2102</v>
      </c>
    </row>
    <row r="103" spans="3:7" ht="13.5">
      <c r="C103" s="26" t="s">
        <v>373</v>
      </c>
      <c r="D103" s="26" t="s">
        <v>374</v>
      </c>
      <c r="E103" s="26" t="s">
        <v>375</v>
      </c>
      <c r="F103" s="26" t="s">
        <v>376</v>
      </c>
      <c r="G103" s="26" t="s">
        <v>377</v>
      </c>
    </row>
    <row r="104" spans="3:7" ht="12.75">
      <c r="C104" s="90" t="s">
        <v>1095</v>
      </c>
      <c r="D104" s="49" t="s">
        <v>388</v>
      </c>
      <c r="E104" s="49" t="s">
        <v>383</v>
      </c>
      <c r="F104" s="49" t="s">
        <v>1153</v>
      </c>
      <c r="G104" s="50" t="s">
        <v>1154</v>
      </c>
    </row>
    <row r="105" spans="3:7" ht="12.75">
      <c r="C105" s="90" t="s">
        <v>1105</v>
      </c>
      <c r="D105" s="49" t="s">
        <v>388</v>
      </c>
      <c r="E105" s="49" t="s">
        <v>404</v>
      </c>
      <c r="F105" s="49" t="s">
        <v>1155</v>
      </c>
      <c r="G105" s="50" t="s">
        <v>1156</v>
      </c>
    </row>
    <row r="106" spans="3:7" ht="12.75">
      <c r="C106" s="90" t="s">
        <v>1097</v>
      </c>
      <c r="D106" s="49" t="s">
        <v>388</v>
      </c>
      <c r="E106" s="49" t="s">
        <v>383</v>
      </c>
      <c r="F106" s="49" t="s">
        <v>1157</v>
      </c>
      <c r="G106" s="50" t="s">
        <v>1158</v>
      </c>
    </row>
    <row r="107" spans="3:4" ht="13.5">
      <c r="C107" s="24"/>
      <c r="D107" s="25" t="s">
        <v>2102</v>
      </c>
    </row>
    <row r="108" spans="3:7" ht="13.5">
      <c r="C108" s="26" t="s">
        <v>373</v>
      </c>
      <c r="D108" s="26" t="s">
        <v>374</v>
      </c>
      <c r="E108" s="26" t="s">
        <v>375</v>
      </c>
      <c r="F108" s="26" t="s">
        <v>376</v>
      </c>
      <c r="G108" s="26" t="s">
        <v>377</v>
      </c>
    </row>
    <row r="109" spans="1:7" ht="12.75">
      <c r="A109" s="29">
        <v>1</v>
      </c>
      <c r="C109" s="90" t="s">
        <v>1099</v>
      </c>
      <c r="D109" s="49" t="s">
        <v>395</v>
      </c>
      <c r="E109" s="49" t="s">
        <v>383</v>
      </c>
      <c r="F109" s="49" t="s">
        <v>1159</v>
      </c>
      <c r="G109" s="50" t="s">
        <v>1160</v>
      </c>
    </row>
    <row r="110" spans="1:7" ht="12.75">
      <c r="A110" s="29">
        <v>2</v>
      </c>
      <c r="C110" s="90" t="s">
        <v>1092</v>
      </c>
      <c r="D110" s="49" t="s">
        <v>395</v>
      </c>
      <c r="E110" s="49" t="s">
        <v>380</v>
      </c>
      <c r="F110" s="49" t="s">
        <v>1161</v>
      </c>
      <c r="G110" s="50" t="s">
        <v>1162</v>
      </c>
    </row>
    <row r="111" spans="1:7" ht="12.75">
      <c r="A111" s="29">
        <v>3</v>
      </c>
      <c r="C111" s="90" t="s">
        <v>1122</v>
      </c>
      <c r="D111" s="49" t="s">
        <v>395</v>
      </c>
      <c r="E111" s="49" t="s">
        <v>378</v>
      </c>
      <c r="F111" s="49" t="s">
        <v>1163</v>
      </c>
      <c r="G111" s="50" t="s">
        <v>1164</v>
      </c>
    </row>
    <row r="112" spans="3:4" ht="13.5">
      <c r="C112" s="24"/>
      <c r="D112" s="25" t="s">
        <v>2102</v>
      </c>
    </row>
    <row r="113" spans="3:7" ht="13.5">
      <c r="C113" s="26" t="s">
        <v>373</v>
      </c>
      <c r="D113" s="26" t="s">
        <v>374</v>
      </c>
      <c r="E113" s="26" t="s">
        <v>375</v>
      </c>
      <c r="F113" s="26" t="s">
        <v>376</v>
      </c>
      <c r="G113" s="26" t="s">
        <v>377</v>
      </c>
    </row>
    <row r="114" spans="1:7" ht="12.75">
      <c r="A114" s="29">
        <v>1</v>
      </c>
      <c r="C114" s="90" t="s">
        <v>1128</v>
      </c>
      <c r="D114" s="49" t="s">
        <v>372</v>
      </c>
      <c r="E114" s="49" t="s">
        <v>2186</v>
      </c>
      <c r="F114" s="49" t="s">
        <v>4105</v>
      </c>
      <c r="G114" s="50" t="s">
        <v>2224</v>
      </c>
    </row>
    <row r="115" spans="1:7" ht="12.75">
      <c r="A115" s="29">
        <v>2</v>
      </c>
      <c r="C115" s="90" t="s">
        <v>1146</v>
      </c>
      <c r="D115" s="49" t="s">
        <v>372</v>
      </c>
      <c r="E115" s="49" t="s">
        <v>400</v>
      </c>
      <c r="F115" s="49" t="s">
        <v>1165</v>
      </c>
      <c r="G115" s="50" t="s">
        <v>1166</v>
      </c>
    </row>
    <row r="116" spans="1:7" ht="12.75">
      <c r="A116" s="29">
        <v>3</v>
      </c>
      <c r="C116" s="90" t="s">
        <v>155</v>
      </c>
      <c r="D116" s="49" t="s">
        <v>372</v>
      </c>
      <c r="E116" s="49" t="s">
        <v>378</v>
      </c>
      <c r="F116" s="49" t="s">
        <v>1167</v>
      </c>
      <c r="G116" s="50" t="s">
        <v>1168</v>
      </c>
    </row>
    <row r="117" spans="3:4" ht="13.5">
      <c r="C117" s="24"/>
      <c r="D117" s="25" t="s">
        <v>2102</v>
      </c>
    </row>
    <row r="118" spans="3:7" ht="13.5">
      <c r="C118" s="26" t="s">
        <v>373</v>
      </c>
      <c r="D118" s="26" t="s">
        <v>374</v>
      </c>
      <c r="E118" s="26" t="s">
        <v>375</v>
      </c>
      <c r="F118" s="26" t="s">
        <v>376</v>
      </c>
      <c r="G118" s="26" t="s">
        <v>377</v>
      </c>
    </row>
    <row r="119" spans="1:7" ht="12.75">
      <c r="A119" s="29">
        <v>1</v>
      </c>
      <c r="C119" s="90" t="s">
        <v>1138</v>
      </c>
      <c r="D119" s="49" t="s">
        <v>386</v>
      </c>
      <c r="E119" s="49" t="s">
        <v>392</v>
      </c>
      <c r="F119" s="49" t="s">
        <v>947</v>
      </c>
      <c r="G119" s="50" t="s">
        <v>1172</v>
      </c>
    </row>
    <row r="120" spans="1:7" ht="12.75">
      <c r="A120" s="29">
        <v>2</v>
      </c>
      <c r="C120" s="90" t="s">
        <v>1136</v>
      </c>
      <c r="D120" s="49" t="s">
        <v>410</v>
      </c>
      <c r="E120" s="49" t="s">
        <v>392</v>
      </c>
      <c r="F120" s="49" t="s">
        <v>1170</v>
      </c>
      <c r="G120" s="50" t="s">
        <v>1173</v>
      </c>
    </row>
    <row r="121" spans="1:7" ht="12.75">
      <c r="A121" s="29">
        <v>3</v>
      </c>
      <c r="C121" s="90" t="s">
        <v>1087</v>
      </c>
      <c r="D121" s="49" t="s">
        <v>407</v>
      </c>
      <c r="E121" s="49" t="s">
        <v>394</v>
      </c>
      <c r="F121" s="49" t="s">
        <v>860</v>
      </c>
      <c r="G121" s="50" t="s">
        <v>1174</v>
      </c>
    </row>
  </sheetData>
  <sheetProtection/>
  <mergeCells count="31">
    <mergeCell ref="C34:V34"/>
    <mergeCell ref="C85:V85"/>
    <mergeCell ref="C39:V39"/>
    <mergeCell ref="C45:V45"/>
    <mergeCell ref="C56:V56"/>
    <mergeCell ref="C67:V67"/>
    <mergeCell ref="M3:P3"/>
    <mergeCell ref="C8:V8"/>
    <mergeCell ref="Q3:T3"/>
    <mergeCell ref="C14:V14"/>
    <mergeCell ref="C5:V5"/>
    <mergeCell ref="A3:A4"/>
    <mergeCell ref="C79:V79"/>
    <mergeCell ref="G3:G4"/>
    <mergeCell ref="C17:V17"/>
    <mergeCell ref="C21:V21"/>
    <mergeCell ref="C25:V25"/>
    <mergeCell ref="C28:V28"/>
    <mergeCell ref="C73:V73"/>
    <mergeCell ref="V3:V4"/>
    <mergeCell ref="B3:B4"/>
    <mergeCell ref="W3:W4"/>
    <mergeCell ref="C31:V31"/>
    <mergeCell ref="U3:U4"/>
    <mergeCell ref="I3:L3"/>
    <mergeCell ref="C1:W2"/>
    <mergeCell ref="C3:C4"/>
    <mergeCell ref="D3:D4"/>
    <mergeCell ref="E3:E4"/>
    <mergeCell ref="F3:F4"/>
    <mergeCell ref="H3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1"/>
  <sheetViews>
    <sheetView workbookViewId="0" topLeftCell="A2">
      <selection activeCell="M56" sqref="M56"/>
    </sheetView>
  </sheetViews>
  <sheetFormatPr defaultColWidth="11.375" defaultRowHeight="12.75"/>
  <cols>
    <col min="1" max="1" width="8.375" style="0" customWidth="1"/>
    <col min="2" max="2" width="11.25390625" style="409" customWidth="1"/>
    <col min="3" max="3" width="28.25390625" style="0" bestFit="1" customWidth="1"/>
    <col min="4" max="4" width="23.625" style="0" customWidth="1"/>
    <col min="5" max="5" width="12.625" style="0" customWidth="1"/>
    <col min="6" max="6" width="23.375" style="0" customWidth="1"/>
    <col min="7" max="7" width="31.625" style="0" customWidth="1"/>
    <col min="8" max="8" width="6.25390625" style="0" customWidth="1"/>
    <col min="9" max="9" width="6.625" style="0" customWidth="1"/>
    <col min="10" max="10" width="6.75390625" style="0" customWidth="1"/>
    <col min="11" max="11" width="7.125" style="0" customWidth="1"/>
    <col min="12" max="12" width="11.375" style="0" customWidth="1"/>
    <col min="13" max="13" width="21.875" style="0" customWidth="1"/>
  </cols>
  <sheetData>
    <row r="1" spans="1:14" ht="57.75" customHeight="1">
      <c r="A1" s="82"/>
      <c r="B1" s="399"/>
      <c r="C1" s="509" t="s">
        <v>2955</v>
      </c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104"/>
    </row>
    <row r="2" spans="1:14" ht="30" thickBot="1">
      <c r="A2" s="82"/>
      <c r="B2" s="399"/>
      <c r="C2" s="509" t="s">
        <v>2322</v>
      </c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49"/>
    </row>
    <row r="3" spans="1:14" ht="27" customHeight="1">
      <c r="A3" s="500" t="s">
        <v>1627</v>
      </c>
      <c r="B3" s="504" t="s">
        <v>4516</v>
      </c>
      <c r="C3" s="502" t="s">
        <v>0</v>
      </c>
      <c r="D3" s="504" t="s">
        <v>2271</v>
      </c>
      <c r="E3" s="504" t="s">
        <v>1629</v>
      </c>
      <c r="F3" s="502" t="s">
        <v>7</v>
      </c>
      <c r="G3" s="520" t="s">
        <v>2273</v>
      </c>
      <c r="H3" s="522" t="s">
        <v>3</v>
      </c>
      <c r="I3" s="522"/>
      <c r="J3" s="522"/>
      <c r="K3" s="523"/>
      <c r="L3" s="502" t="s">
        <v>1672</v>
      </c>
      <c r="M3" s="506" t="s">
        <v>5</v>
      </c>
      <c r="N3" s="184"/>
    </row>
    <row r="4" spans="1:14" ht="15" thickBot="1">
      <c r="A4" s="501"/>
      <c r="B4" s="505"/>
      <c r="C4" s="503"/>
      <c r="D4" s="505"/>
      <c r="E4" s="505"/>
      <c r="F4" s="503"/>
      <c r="G4" s="521"/>
      <c r="H4" s="185" t="s">
        <v>2208</v>
      </c>
      <c r="I4" s="186" t="s">
        <v>2209</v>
      </c>
      <c r="J4" s="186" t="s">
        <v>2210</v>
      </c>
      <c r="K4" s="186" t="s">
        <v>2956</v>
      </c>
      <c r="L4" s="503"/>
      <c r="M4" s="507"/>
      <c r="N4" s="184"/>
    </row>
    <row r="5" spans="1:14" ht="15.75">
      <c r="A5" s="50"/>
      <c r="B5" s="402"/>
      <c r="C5" s="508" t="s">
        <v>80</v>
      </c>
      <c r="D5" s="508"/>
      <c r="E5" s="508"/>
      <c r="F5" s="508"/>
      <c r="G5" s="508"/>
      <c r="H5" s="508"/>
      <c r="I5" s="508"/>
      <c r="J5" s="508"/>
      <c r="K5" s="508"/>
      <c r="L5" s="508"/>
      <c r="M5" s="89"/>
      <c r="N5" s="49"/>
    </row>
    <row r="6" spans="1:14" ht="12.75">
      <c r="A6" s="50" t="s">
        <v>2208</v>
      </c>
      <c r="B6" s="402" t="s">
        <v>3526</v>
      </c>
      <c r="C6" s="187" t="s">
        <v>3890</v>
      </c>
      <c r="D6" s="188" t="s">
        <v>2958</v>
      </c>
      <c r="E6" s="188" t="s">
        <v>2959</v>
      </c>
      <c r="F6" s="188" t="s">
        <v>2865</v>
      </c>
      <c r="G6" s="188" t="s">
        <v>2866</v>
      </c>
      <c r="H6" s="231" t="s">
        <v>2801</v>
      </c>
      <c r="I6" s="121" t="s">
        <v>2960</v>
      </c>
      <c r="J6" s="121" t="s">
        <v>2960</v>
      </c>
      <c r="K6" s="101"/>
      <c r="L6" s="110" t="s">
        <v>2801</v>
      </c>
      <c r="M6" s="188" t="s">
        <v>2869</v>
      </c>
      <c r="N6" s="49"/>
    </row>
    <row r="7" spans="1:14" ht="12.75">
      <c r="A7" s="50" t="s">
        <v>2208</v>
      </c>
      <c r="B7" s="402" t="s">
        <v>3526</v>
      </c>
      <c r="C7" s="190" t="s">
        <v>3890</v>
      </c>
      <c r="D7" s="191" t="s">
        <v>2961</v>
      </c>
      <c r="E7" s="191" t="s">
        <v>2959</v>
      </c>
      <c r="F7" s="191" t="s">
        <v>2865</v>
      </c>
      <c r="G7" s="191" t="s">
        <v>2866</v>
      </c>
      <c r="H7" s="232" t="s">
        <v>2801</v>
      </c>
      <c r="I7" s="103" t="s">
        <v>2960</v>
      </c>
      <c r="J7" s="103" t="s">
        <v>2960</v>
      </c>
      <c r="K7" s="102"/>
      <c r="L7" s="193" t="s">
        <v>2801</v>
      </c>
      <c r="M7" s="191" t="s">
        <v>2869</v>
      </c>
      <c r="N7" s="49"/>
    </row>
    <row r="8" spans="1:14" ht="12.75">
      <c r="A8" s="50"/>
      <c r="B8" s="402"/>
      <c r="C8" s="194" t="s">
        <v>2962</v>
      </c>
      <c r="D8" s="195" t="s">
        <v>2963</v>
      </c>
      <c r="E8" s="195" t="s">
        <v>1649</v>
      </c>
      <c r="F8" s="195" t="s">
        <v>2104</v>
      </c>
      <c r="G8" s="195" t="s">
        <v>1642</v>
      </c>
      <c r="H8" s="112" t="s">
        <v>2960</v>
      </c>
      <c r="I8" s="112" t="s">
        <v>2960</v>
      </c>
      <c r="J8" s="109"/>
      <c r="K8" s="109"/>
      <c r="L8" s="111" t="s">
        <v>1639</v>
      </c>
      <c r="M8" s="195" t="s">
        <v>1906</v>
      </c>
      <c r="N8" s="49"/>
    </row>
    <row r="9" spans="1:14" ht="12.75">
      <c r="A9" s="50"/>
      <c r="B9" s="402"/>
      <c r="C9" s="89"/>
      <c r="D9" s="89"/>
      <c r="E9" s="89"/>
      <c r="F9" s="89"/>
      <c r="G9" s="89"/>
      <c r="H9" s="49"/>
      <c r="I9" s="49"/>
      <c r="J9" s="49"/>
      <c r="K9" s="49"/>
      <c r="L9" s="197"/>
      <c r="M9" s="89"/>
      <c r="N9" s="49"/>
    </row>
    <row r="10" spans="1:14" ht="15.75">
      <c r="A10" s="50"/>
      <c r="B10" s="402"/>
      <c r="C10" s="508" t="s">
        <v>42</v>
      </c>
      <c r="D10" s="508"/>
      <c r="E10" s="508"/>
      <c r="F10" s="508"/>
      <c r="G10" s="508"/>
      <c r="H10" s="508"/>
      <c r="I10" s="508"/>
      <c r="J10" s="508"/>
      <c r="K10" s="508"/>
      <c r="L10" s="508"/>
      <c r="M10" s="89"/>
      <c r="N10" s="49"/>
    </row>
    <row r="11" spans="1:14" ht="12.75">
      <c r="A11" s="50" t="s">
        <v>2208</v>
      </c>
      <c r="B11" s="402" t="s">
        <v>3526</v>
      </c>
      <c r="C11" s="198" t="s">
        <v>3891</v>
      </c>
      <c r="D11" s="199" t="s">
        <v>2965</v>
      </c>
      <c r="E11" s="199" t="s">
        <v>1918</v>
      </c>
      <c r="F11" s="199" t="s">
        <v>2400</v>
      </c>
      <c r="G11" s="199" t="s">
        <v>1903</v>
      </c>
      <c r="H11" s="233" t="s">
        <v>2801</v>
      </c>
      <c r="I11" s="233" t="s">
        <v>2966</v>
      </c>
      <c r="J11" s="136" t="s">
        <v>2967</v>
      </c>
      <c r="K11" s="201"/>
      <c r="L11" s="200" t="s">
        <v>2966</v>
      </c>
      <c r="M11" s="199" t="s">
        <v>2968</v>
      </c>
      <c r="N11" s="49"/>
    </row>
    <row r="12" spans="1:14" ht="12.75">
      <c r="A12" s="50"/>
      <c r="B12" s="402"/>
      <c r="C12" s="89"/>
      <c r="D12" s="89"/>
      <c r="E12" s="89"/>
      <c r="F12" s="89"/>
      <c r="G12" s="89"/>
      <c r="H12" s="49"/>
      <c r="I12" s="49"/>
      <c r="J12" s="49"/>
      <c r="K12" s="49"/>
      <c r="L12" s="197"/>
      <c r="M12" s="89"/>
      <c r="N12" s="49"/>
    </row>
    <row r="13" spans="1:14" ht="15.75">
      <c r="A13" s="50"/>
      <c r="B13" s="402"/>
      <c r="C13" s="508" t="s">
        <v>2969</v>
      </c>
      <c r="D13" s="508"/>
      <c r="E13" s="508"/>
      <c r="F13" s="508"/>
      <c r="G13" s="508"/>
      <c r="H13" s="508"/>
      <c r="I13" s="508"/>
      <c r="J13" s="508"/>
      <c r="K13" s="508"/>
      <c r="L13" s="508"/>
      <c r="M13" s="89"/>
      <c r="N13" s="49"/>
    </row>
    <row r="14" spans="1:14" ht="12.75">
      <c r="A14" s="50" t="s">
        <v>2208</v>
      </c>
      <c r="B14" s="402" t="s">
        <v>3526</v>
      </c>
      <c r="C14" s="187" t="s">
        <v>3892</v>
      </c>
      <c r="D14" s="188" t="s">
        <v>2971</v>
      </c>
      <c r="E14" s="195" t="s">
        <v>2976</v>
      </c>
      <c r="F14" s="195" t="s">
        <v>2400</v>
      </c>
      <c r="G14" s="188" t="s">
        <v>2972</v>
      </c>
      <c r="H14" s="231" t="s">
        <v>2966</v>
      </c>
      <c r="I14" s="231" t="s">
        <v>2973</v>
      </c>
      <c r="J14" s="121" t="s">
        <v>2967</v>
      </c>
      <c r="K14" s="101"/>
      <c r="L14" s="110" t="s">
        <v>2973</v>
      </c>
      <c r="M14" s="188" t="s">
        <v>2974</v>
      </c>
      <c r="N14" s="49"/>
    </row>
    <row r="15" spans="1:14" ht="12.75">
      <c r="A15" s="50" t="s">
        <v>2208</v>
      </c>
      <c r="B15" s="402" t="s">
        <v>3526</v>
      </c>
      <c r="C15" s="194" t="s">
        <v>3892</v>
      </c>
      <c r="D15" s="195" t="s">
        <v>2975</v>
      </c>
      <c r="E15" s="195" t="s">
        <v>2976</v>
      </c>
      <c r="F15" s="195" t="s">
        <v>2400</v>
      </c>
      <c r="G15" s="195" t="s">
        <v>2972</v>
      </c>
      <c r="H15" s="234" t="s">
        <v>2966</v>
      </c>
      <c r="I15" s="234" t="s">
        <v>2973</v>
      </c>
      <c r="J15" s="112" t="s">
        <v>2967</v>
      </c>
      <c r="K15" s="109"/>
      <c r="L15" s="111" t="s">
        <v>2973</v>
      </c>
      <c r="M15" s="195" t="s">
        <v>2974</v>
      </c>
      <c r="N15" s="49"/>
    </row>
    <row r="16" spans="1:14" ht="12.75">
      <c r="A16" s="50"/>
      <c r="B16" s="402"/>
      <c r="C16" s="89"/>
      <c r="D16" s="89"/>
      <c r="E16" s="89"/>
      <c r="F16" s="89"/>
      <c r="G16" s="89"/>
      <c r="H16" s="49"/>
      <c r="I16" s="49"/>
      <c r="J16" s="49"/>
      <c r="K16" s="49"/>
      <c r="L16" s="197"/>
      <c r="M16" s="89"/>
      <c r="N16" s="49"/>
    </row>
    <row r="17" spans="1:14" ht="15.75">
      <c r="A17" s="50"/>
      <c r="B17" s="402"/>
      <c r="C17" s="508" t="s">
        <v>2977</v>
      </c>
      <c r="D17" s="508"/>
      <c r="E17" s="508"/>
      <c r="F17" s="508"/>
      <c r="G17" s="508"/>
      <c r="H17" s="508"/>
      <c r="I17" s="508"/>
      <c r="J17" s="508"/>
      <c r="K17" s="508"/>
      <c r="L17" s="508"/>
      <c r="M17" s="89"/>
      <c r="N17" s="49"/>
    </row>
    <row r="18" spans="1:14" ht="12.75">
      <c r="A18" s="50" t="s">
        <v>2208</v>
      </c>
      <c r="B18" s="402"/>
      <c r="C18" s="187" t="s">
        <v>3893</v>
      </c>
      <c r="D18" s="188" t="s">
        <v>2978</v>
      </c>
      <c r="E18" s="188" t="s">
        <v>2979</v>
      </c>
      <c r="F18" s="188" t="s">
        <v>31</v>
      </c>
      <c r="G18" s="188" t="s">
        <v>2980</v>
      </c>
      <c r="H18" s="231" t="s">
        <v>2981</v>
      </c>
      <c r="I18" s="231" t="s">
        <v>1780</v>
      </c>
      <c r="J18" s="121" t="s">
        <v>2982</v>
      </c>
      <c r="K18" s="101"/>
      <c r="L18" s="110" t="s">
        <v>1780</v>
      </c>
      <c r="M18" s="188" t="s">
        <v>2983</v>
      </c>
      <c r="N18" s="49"/>
    </row>
    <row r="19" spans="1:14" ht="12.75">
      <c r="A19" s="50" t="s">
        <v>2208</v>
      </c>
      <c r="B19" s="402"/>
      <c r="C19" s="190" t="s">
        <v>3893</v>
      </c>
      <c r="D19" s="191" t="s">
        <v>2984</v>
      </c>
      <c r="E19" s="191" t="s">
        <v>2979</v>
      </c>
      <c r="F19" s="191" t="s">
        <v>31</v>
      </c>
      <c r="G19" s="191" t="s">
        <v>2980</v>
      </c>
      <c r="H19" s="232" t="s">
        <v>2981</v>
      </c>
      <c r="I19" s="232" t="s">
        <v>1780</v>
      </c>
      <c r="J19" s="103" t="s">
        <v>2982</v>
      </c>
      <c r="K19" s="102"/>
      <c r="L19" s="193" t="s">
        <v>1780</v>
      </c>
      <c r="M19" s="191" t="s">
        <v>2983</v>
      </c>
      <c r="N19" s="49"/>
    </row>
    <row r="20" spans="1:14" ht="12.75">
      <c r="A20" s="50" t="s">
        <v>2209</v>
      </c>
      <c r="B20" s="402"/>
      <c r="C20" s="190" t="s">
        <v>3894</v>
      </c>
      <c r="D20" s="191" t="s">
        <v>2986</v>
      </c>
      <c r="E20" s="191" t="s">
        <v>2987</v>
      </c>
      <c r="F20" s="191" t="s">
        <v>31</v>
      </c>
      <c r="G20" s="191" t="s">
        <v>859</v>
      </c>
      <c r="H20" s="232" t="s">
        <v>95</v>
      </c>
      <c r="I20" s="232" t="s">
        <v>416</v>
      </c>
      <c r="J20" s="103" t="s">
        <v>57</v>
      </c>
      <c r="K20" s="102"/>
      <c r="L20" s="193" t="s">
        <v>416</v>
      </c>
      <c r="M20" s="191" t="s">
        <v>51</v>
      </c>
      <c r="N20" s="49"/>
    </row>
    <row r="21" spans="1:14" ht="12.75">
      <c r="A21" s="50" t="s">
        <v>2210</v>
      </c>
      <c r="B21" s="402" t="s">
        <v>2215</v>
      </c>
      <c r="C21" s="194" t="s">
        <v>3895</v>
      </c>
      <c r="D21" s="195" t="s">
        <v>2989</v>
      </c>
      <c r="E21" s="195" t="s">
        <v>1783</v>
      </c>
      <c r="F21" s="195" t="s">
        <v>2865</v>
      </c>
      <c r="G21" s="195" t="s">
        <v>2866</v>
      </c>
      <c r="H21" s="234" t="s">
        <v>1708</v>
      </c>
      <c r="I21" s="112" t="s">
        <v>2990</v>
      </c>
      <c r="J21" s="234" t="s">
        <v>2990</v>
      </c>
      <c r="K21" s="109"/>
      <c r="L21" s="111" t="s">
        <v>2990</v>
      </c>
      <c r="M21" s="195" t="s">
        <v>51</v>
      </c>
      <c r="N21" s="49"/>
    </row>
    <row r="22" spans="1:14" ht="12.75">
      <c r="A22" s="50"/>
      <c r="B22" s="402"/>
      <c r="C22" s="89"/>
      <c r="D22" s="89"/>
      <c r="E22" s="89"/>
      <c r="F22" s="89"/>
      <c r="G22" s="89"/>
      <c r="H22" s="49"/>
      <c r="I22" s="49"/>
      <c r="J22" s="49"/>
      <c r="K22" s="49"/>
      <c r="L22" s="197"/>
      <c r="M22" s="89"/>
      <c r="N22" s="49"/>
    </row>
    <row r="23" spans="1:14" ht="15.75">
      <c r="A23" s="50"/>
      <c r="B23" s="402"/>
      <c r="C23" s="508" t="s">
        <v>59</v>
      </c>
      <c r="D23" s="508"/>
      <c r="E23" s="508"/>
      <c r="F23" s="508"/>
      <c r="G23" s="508"/>
      <c r="H23" s="508"/>
      <c r="I23" s="508"/>
      <c r="J23" s="508"/>
      <c r="K23" s="508"/>
      <c r="L23" s="508"/>
      <c r="M23" s="89"/>
      <c r="N23" s="49"/>
    </row>
    <row r="24" spans="1:14" ht="12.75">
      <c r="A24" s="50" t="s">
        <v>2208</v>
      </c>
      <c r="B24" s="402" t="s">
        <v>2708</v>
      </c>
      <c r="C24" s="187" t="s">
        <v>3896</v>
      </c>
      <c r="D24" s="188" t="s">
        <v>2992</v>
      </c>
      <c r="E24" s="188" t="s">
        <v>2993</v>
      </c>
      <c r="F24" s="191" t="s">
        <v>2400</v>
      </c>
      <c r="G24" s="188" t="s">
        <v>1641</v>
      </c>
      <c r="H24" s="231" t="s">
        <v>2981</v>
      </c>
      <c r="I24" s="231" t="s">
        <v>2994</v>
      </c>
      <c r="J24" s="231" t="s">
        <v>1924</v>
      </c>
      <c r="K24" s="121" t="s">
        <v>1794</v>
      </c>
      <c r="L24" s="110" t="s">
        <v>1924</v>
      </c>
      <c r="M24" s="188" t="s">
        <v>2968</v>
      </c>
      <c r="N24" s="49"/>
    </row>
    <row r="25" spans="1:14" ht="12.75">
      <c r="A25" s="50" t="s">
        <v>2209</v>
      </c>
      <c r="B25" s="402"/>
      <c r="C25" s="190" t="s">
        <v>3897</v>
      </c>
      <c r="D25" s="191" t="s">
        <v>2996</v>
      </c>
      <c r="E25" s="191" t="s">
        <v>32</v>
      </c>
      <c r="F25" s="191" t="s">
        <v>31</v>
      </c>
      <c r="G25" s="191" t="s">
        <v>1573</v>
      </c>
      <c r="H25" s="232" t="s">
        <v>1780</v>
      </c>
      <c r="I25" s="232" t="s">
        <v>2994</v>
      </c>
      <c r="J25" s="103" t="s">
        <v>1924</v>
      </c>
      <c r="K25" s="102"/>
      <c r="L25" s="193" t="s">
        <v>2994</v>
      </c>
      <c r="M25" s="191" t="s">
        <v>51</v>
      </c>
      <c r="N25" s="49"/>
    </row>
    <row r="26" spans="1:14" ht="12.75">
      <c r="A26" s="50" t="s">
        <v>2210</v>
      </c>
      <c r="B26" s="402" t="s">
        <v>2215</v>
      </c>
      <c r="C26" s="190" t="s">
        <v>3898</v>
      </c>
      <c r="D26" s="191" t="s">
        <v>2998</v>
      </c>
      <c r="E26" s="191" t="s">
        <v>32</v>
      </c>
      <c r="F26" s="191" t="s">
        <v>2865</v>
      </c>
      <c r="G26" s="191" t="s">
        <v>2866</v>
      </c>
      <c r="H26" s="232" t="s">
        <v>1712</v>
      </c>
      <c r="I26" s="103" t="s">
        <v>57</v>
      </c>
      <c r="J26" s="103" t="s">
        <v>57</v>
      </c>
      <c r="K26" s="102"/>
      <c r="L26" s="193" t="s">
        <v>1712</v>
      </c>
      <c r="M26" s="191" t="s">
        <v>2869</v>
      </c>
      <c r="N26" s="49"/>
    </row>
    <row r="27" spans="1:14" ht="12.75">
      <c r="A27" s="50" t="s">
        <v>2208</v>
      </c>
      <c r="B27" s="402" t="s">
        <v>2708</v>
      </c>
      <c r="C27" s="190" t="s">
        <v>3896</v>
      </c>
      <c r="D27" s="191" t="s">
        <v>2999</v>
      </c>
      <c r="E27" s="191" t="s">
        <v>2993</v>
      </c>
      <c r="F27" s="191" t="s">
        <v>2400</v>
      </c>
      <c r="G27" s="191" t="s">
        <v>1641</v>
      </c>
      <c r="H27" s="232" t="s">
        <v>2981</v>
      </c>
      <c r="I27" s="232" t="s">
        <v>2994</v>
      </c>
      <c r="J27" s="232" t="s">
        <v>1924</v>
      </c>
      <c r="K27" s="103" t="s">
        <v>1794</v>
      </c>
      <c r="L27" s="193" t="s">
        <v>1924</v>
      </c>
      <c r="M27" s="191" t="s">
        <v>2968</v>
      </c>
      <c r="N27" s="49"/>
    </row>
    <row r="28" spans="1:14" ht="12.75">
      <c r="A28" s="50" t="s">
        <v>2209</v>
      </c>
      <c r="B28" s="402" t="s">
        <v>3353</v>
      </c>
      <c r="C28" s="190" t="s">
        <v>3899</v>
      </c>
      <c r="D28" s="191" t="s">
        <v>3001</v>
      </c>
      <c r="E28" s="191" t="s">
        <v>2660</v>
      </c>
      <c r="F28" s="191" t="s">
        <v>2293</v>
      </c>
      <c r="G28" s="191" t="s">
        <v>201</v>
      </c>
      <c r="H28" s="232" t="s">
        <v>2982</v>
      </c>
      <c r="I28" s="232" t="s">
        <v>1784</v>
      </c>
      <c r="J28" s="103" t="s">
        <v>1924</v>
      </c>
      <c r="K28" s="102"/>
      <c r="L28" s="193" t="s">
        <v>1784</v>
      </c>
      <c r="M28" s="191" t="s">
        <v>51</v>
      </c>
      <c r="N28" s="49"/>
    </row>
    <row r="29" spans="1:14" ht="12.75">
      <c r="A29" s="50" t="s">
        <v>2210</v>
      </c>
      <c r="B29" s="402" t="s">
        <v>2215</v>
      </c>
      <c r="C29" s="190" t="s">
        <v>3898</v>
      </c>
      <c r="D29" s="191" t="s">
        <v>3002</v>
      </c>
      <c r="E29" s="191" t="s">
        <v>32</v>
      </c>
      <c r="F29" s="191" t="s">
        <v>2865</v>
      </c>
      <c r="G29" s="191" t="s">
        <v>2866</v>
      </c>
      <c r="H29" s="232" t="s">
        <v>95</v>
      </c>
      <c r="I29" s="103" t="s">
        <v>57</v>
      </c>
      <c r="J29" s="103" t="s">
        <v>57</v>
      </c>
      <c r="K29" s="102"/>
      <c r="L29" s="193" t="s">
        <v>95</v>
      </c>
      <c r="M29" s="191" t="s">
        <v>2869</v>
      </c>
      <c r="N29" s="49"/>
    </row>
    <row r="30" spans="1:14" ht="12.75">
      <c r="A30" s="50" t="s">
        <v>2208</v>
      </c>
      <c r="B30" s="402" t="s">
        <v>3489</v>
      </c>
      <c r="C30" s="190" t="s">
        <v>3899</v>
      </c>
      <c r="D30" s="191" t="s">
        <v>3003</v>
      </c>
      <c r="E30" s="191" t="s">
        <v>2660</v>
      </c>
      <c r="F30" s="191" t="s">
        <v>2293</v>
      </c>
      <c r="G30" s="191" t="s">
        <v>201</v>
      </c>
      <c r="H30" s="232" t="s">
        <v>2982</v>
      </c>
      <c r="I30" s="232" t="s">
        <v>1784</v>
      </c>
      <c r="J30" s="103" t="s">
        <v>1924</v>
      </c>
      <c r="K30" s="102"/>
      <c r="L30" s="193" t="s">
        <v>1784</v>
      </c>
      <c r="M30" s="191" t="s">
        <v>51</v>
      </c>
      <c r="N30" s="49"/>
    </row>
    <row r="31" spans="1:14" ht="12.75">
      <c r="A31" s="50" t="s">
        <v>2209</v>
      </c>
      <c r="B31" s="402"/>
      <c r="C31" s="190" t="s">
        <v>3900</v>
      </c>
      <c r="D31" s="191" t="s">
        <v>3004</v>
      </c>
      <c r="E31" s="191" t="s">
        <v>2987</v>
      </c>
      <c r="F31" s="191" t="s">
        <v>31</v>
      </c>
      <c r="G31" s="191" t="s">
        <v>859</v>
      </c>
      <c r="H31" s="232" t="s">
        <v>95</v>
      </c>
      <c r="I31" s="232" t="s">
        <v>3005</v>
      </c>
      <c r="J31" s="103" t="s">
        <v>57</v>
      </c>
      <c r="K31" s="102"/>
      <c r="L31" s="193" t="s">
        <v>3005</v>
      </c>
      <c r="M31" s="191" t="s">
        <v>51</v>
      </c>
      <c r="N31" s="49"/>
    </row>
    <row r="32" spans="1:14" ht="12.75">
      <c r="A32" s="50" t="s">
        <v>2210</v>
      </c>
      <c r="B32" s="402" t="s">
        <v>2215</v>
      </c>
      <c r="C32" s="194" t="s">
        <v>3901</v>
      </c>
      <c r="D32" s="195" t="s">
        <v>3007</v>
      </c>
      <c r="E32" s="195" t="s">
        <v>1901</v>
      </c>
      <c r="F32" s="195" t="s">
        <v>125</v>
      </c>
      <c r="G32" s="195" t="s">
        <v>119</v>
      </c>
      <c r="H32" s="234" t="s">
        <v>2990</v>
      </c>
      <c r="I32" s="234" t="s">
        <v>2981</v>
      </c>
      <c r="J32" s="112" t="s">
        <v>1780</v>
      </c>
      <c r="K32" s="109"/>
      <c r="L32" s="111" t="s">
        <v>2981</v>
      </c>
      <c r="M32" s="195" t="s">
        <v>3008</v>
      </c>
      <c r="N32" s="49"/>
    </row>
    <row r="33" spans="1:14" ht="12.75">
      <c r="A33" s="50"/>
      <c r="B33" s="402"/>
      <c r="C33" s="89"/>
      <c r="D33" s="89"/>
      <c r="E33" s="89"/>
      <c r="F33" s="89"/>
      <c r="G33" s="89"/>
      <c r="H33" s="49"/>
      <c r="I33" s="49"/>
      <c r="J33" s="49"/>
      <c r="K33" s="49"/>
      <c r="L33" s="197"/>
      <c r="M33" s="89"/>
      <c r="N33" s="49"/>
    </row>
    <row r="34" spans="1:14" ht="15.75">
      <c r="A34" s="50"/>
      <c r="B34" s="402"/>
      <c r="C34" s="508" t="s">
        <v>164</v>
      </c>
      <c r="D34" s="508"/>
      <c r="E34" s="508"/>
      <c r="F34" s="508"/>
      <c r="G34" s="508"/>
      <c r="H34" s="508"/>
      <c r="I34" s="508"/>
      <c r="J34" s="508"/>
      <c r="K34" s="508"/>
      <c r="L34" s="508"/>
      <c r="M34" s="89"/>
      <c r="N34" s="49"/>
    </row>
    <row r="35" spans="1:14" ht="12.75">
      <c r="A35" s="50" t="s">
        <v>2208</v>
      </c>
      <c r="B35" s="402" t="s">
        <v>3506</v>
      </c>
      <c r="C35" s="187" t="s">
        <v>3902</v>
      </c>
      <c r="D35" s="188" t="s">
        <v>3009</v>
      </c>
      <c r="E35" s="188" t="s">
        <v>303</v>
      </c>
      <c r="F35" s="188" t="s">
        <v>2400</v>
      </c>
      <c r="G35" s="188" t="s">
        <v>1903</v>
      </c>
      <c r="H35" s="231" t="s">
        <v>1780</v>
      </c>
      <c r="I35" s="231" t="s">
        <v>2994</v>
      </c>
      <c r="J35" s="231" t="s">
        <v>1784</v>
      </c>
      <c r="K35" s="121" t="s">
        <v>1924</v>
      </c>
      <c r="L35" s="110" t="s">
        <v>1784</v>
      </c>
      <c r="M35" s="188" t="s">
        <v>51</v>
      </c>
      <c r="N35" s="49"/>
    </row>
    <row r="36" spans="1:14" ht="12.75">
      <c r="A36" s="50" t="s">
        <v>2209</v>
      </c>
      <c r="B36" s="402"/>
      <c r="C36" s="190" t="s">
        <v>3903</v>
      </c>
      <c r="D36" s="191" t="s">
        <v>3010</v>
      </c>
      <c r="E36" s="191" t="s">
        <v>2022</v>
      </c>
      <c r="F36" s="191" t="s">
        <v>31</v>
      </c>
      <c r="G36" s="191" t="s">
        <v>1903</v>
      </c>
      <c r="H36" s="232" t="s">
        <v>2990</v>
      </c>
      <c r="I36" s="232" t="s">
        <v>2982</v>
      </c>
      <c r="J36" s="103" t="s">
        <v>1784</v>
      </c>
      <c r="K36" s="102"/>
      <c r="L36" s="193" t="s">
        <v>2982</v>
      </c>
      <c r="M36" s="191" t="s">
        <v>3011</v>
      </c>
      <c r="N36" s="49"/>
    </row>
    <row r="37" spans="1:14" ht="12.75">
      <c r="A37" s="50" t="s">
        <v>2210</v>
      </c>
      <c r="B37" s="402" t="s">
        <v>2215</v>
      </c>
      <c r="C37" s="190" t="s">
        <v>3904</v>
      </c>
      <c r="D37" s="191" t="s">
        <v>3012</v>
      </c>
      <c r="E37" s="191" t="s">
        <v>3013</v>
      </c>
      <c r="F37" s="191" t="s">
        <v>2293</v>
      </c>
      <c r="G37" s="191" t="s">
        <v>196</v>
      </c>
      <c r="H37" s="232" t="s">
        <v>1780</v>
      </c>
      <c r="I37" s="232" t="s">
        <v>2982</v>
      </c>
      <c r="J37" s="103" t="s">
        <v>1784</v>
      </c>
      <c r="K37" s="102"/>
      <c r="L37" s="193" t="s">
        <v>2982</v>
      </c>
      <c r="M37" s="191" t="s">
        <v>3014</v>
      </c>
      <c r="N37" s="49"/>
    </row>
    <row r="38" spans="1:14" ht="12.75">
      <c r="A38" s="50" t="s">
        <v>2211</v>
      </c>
      <c r="B38" s="402"/>
      <c r="C38" s="194" t="s">
        <v>3905</v>
      </c>
      <c r="D38" s="195" t="s">
        <v>3016</v>
      </c>
      <c r="E38" s="195" t="s">
        <v>3017</v>
      </c>
      <c r="F38" s="195" t="s">
        <v>31</v>
      </c>
      <c r="G38" s="195" t="s">
        <v>3018</v>
      </c>
      <c r="H38" s="234" t="s">
        <v>2981</v>
      </c>
      <c r="I38" s="112" t="s">
        <v>2982</v>
      </c>
      <c r="J38" s="112" t="s">
        <v>2982</v>
      </c>
      <c r="K38" s="109"/>
      <c r="L38" s="111" t="s">
        <v>2981</v>
      </c>
      <c r="M38" s="195" t="s">
        <v>51</v>
      </c>
      <c r="N38" s="49"/>
    </row>
    <row r="39" spans="1:14" ht="12.75">
      <c r="A39" s="50"/>
      <c r="B39" s="402"/>
      <c r="C39" s="89"/>
      <c r="D39" s="89"/>
      <c r="E39" s="89"/>
      <c r="F39" s="89"/>
      <c r="G39" s="89"/>
      <c r="H39" s="49"/>
      <c r="I39" s="49"/>
      <c r="J39" s="49"/>
      <c r="K39" s="49"/>
      <c r="L39" s="197"/>
      <c r="M39" s="89"/>
      <c r="N39" s="49"/>
    </row>
    <row r="40" spans="1:14" ht="15.75">
      <c r="A40" s="50"/>
      <c r="B40" s="402"/>
      <c r="C40" s="508" t="s">
        <v>227</v>
      </c>
      <c r="D40" s="508"/>
      <c r="E40" s="508"/>
      <c r="F40" s="508"/>
      <c r="G40" s="508"/>
      <c r="H40" s="508"/>
      <c r="I40" s="508"/>
      <c r="J40" s="508"/>
      <c r="K40" s="508"/>
      <c r="L40" s="508"/>
      <c r="M40" s="89"/>
      <c r="N40" s="49"/>
    </row>
    <row r="41" spans="1:14" ht="12.75">
      <c r="A41" s="50" t="s">
        <v>2208</v>
      </c>
      <c r="B41" s="402" t="s">
        <v>3489</v>
      </c>
      <c r="C41" s="187" t="s">
        <v>3906</v>
      </c>
      <c r="D41" s="188" t="s">
        <v>3020</v>
      </c>
      <c r="E41" s="188" t="s">
        <v>3021</v>
      </c>
      <c r="F41" s="188" t="s">
        <v>2293</v>
      </c>
      <c r="G41" s="188" t="s">
        <v>196</v>
      </c>
      <c r="H41" s="231" t="s">
        <v>1924</v>
      </c>
      <c r="I41" s="231" t="s">
        <v>3022</v>
      </c>
      <c r="J41" s="121" t="s">
        <v>2022</v>
      </c>
      <c r="K41" s="101"/>
      <c r="L41" s="110" t="s">
        <v>3022</v>
      </c>
      <c r="M41" s="188" t="s">
        <v>3014</v>
      </c>
      <c r="N41" s="49"/>
    </row>
    <row r="42" spans="1:14" ht="12.75">
      <c r="A42" s="50" t="s">
        <v>2209</v>
      </c>
      <c r="B42" s="402" t="s">
        <v>3493</v>
      </c>
      <c r="C42" s="194" t="s">
        <v>3907</v>
      </c>
      <c r="D42" s="195" t="s">
        <v>485</v>
      </c>
      <c r="E42" s="195" t="s">
        <v>3023</v>
      </c>
      <c r="F42" s="195" t="s">
        <v>2348</v>
      </c>
      <c r="G42" s="195" t="s">
        <v>1903</v>
      </c>
      <c r="H42" s="234" t="s">
        <v>2994</v>
      </c>
      <c r="I42" s="112" t="s">
        <v>1784</v>
      </c>
      <c r="J42" s="112" t="s">
        <v>1784</v>
      </c>
      <c r="K42" s="109"/>
      <c r="L42" s="111" t="s">
        <v>2994</v>
      </c>
      <c r="M42" s="195" t="s">
        <v>51</v>
      </c>
      <c r="N42" s="49"/>
    </row>
    <row r="43" spans="1:14" ht="12.75">
      <c r="A43" s="50"/>
      <c r="B43" s="402"/>
      <c r="C43" s="89"/>
      <c r="D43" s="89"/>
      <c r="E43" s="89"/>
      <c r="F43" s="89"/>
      <c r="G43" s="89"/>
      <c r="H43" s="49"/>
      <c r="I43" s="49"/>
      <c r="J43" s="49"/>
      <c r="K43" s="49"/>
      <c r="L43" s="197"/>
      <c r="M43" s="89"/>
      <c r="N43" s="49"/>
    </row>
    <row r="44" spans="1:14" ht="15.75">
      <c r="A44" s="50"/>
      <c r="B44" s="402"/>
      <c r="C44" s="508" t="s">
        <v>304</v>
      </c>
      <c r="D44" s="508"/>
      <c r="E44" s="508"/>
      <c r="F44" s="508"/>
      <c r="G44" s="508"/>
      <c r="H44" s="508"/>
      <c r="I44" s="508"/>
      <c r="J44" s="508"/>
      <c r="K44" s="508"/>
      <c r="L44" s="508"/>
      <c r="M44" s="89"/>
      <c r="N44" s="49"/>
    </row>
    <row r="45" spans="1:14" ht="12.75">
      <c r="A45" s="50" t="s">
        <v>2208</v>
      </c>
      <c r="B45" s="402"/>
      <c r="C45" s="187" t="s">
        <v>3908</v>
      </c>
      <c r="D45" s="188" t="s">
        <v>3025</v>
      </c>
      <c r="E45" s="188" t="s">
        <v>2494</v>
      </c>
      <c r="F45" s="188" t="s">
        <v>31</v>
      </c>
      <c r="G45" s="188" t="s">
        <v>1903</v>
      </c>
      <c r="H45" s="231" t="s">
        <v>1784</v>
      </c>
      <c r="I45" s="231" t="s">
        <v>3026</v>
      </c>
      <c r="J45" s="121" t="s">
        <v>2022</v>
      </c>
      <c r="K45" s="101"/>
      <c r="L45" s="110" t="s">
        <v>3026</v>
      </c>
      <c r="M45" s="188" t="s">
        <v>51</v>
      </c>
      <c r="N45" s="49"/>
    </row>
    <row r="46" spans="1:14" ht="12.75">
      <c r="A46" s="50" t="s">
        <v>2209</v>
      </c>
      <c r="B46" s="402"/>
      <c r="C46" s="190" t="s">
        <v>3909</v>
      </c>
      <c r="D46" s="191" t="s">
        <v>3027</v>
      </c>
      <c r="E46" s="191" t="s">
        <v>3028</v>
      </c>
      <c r="F46" s="191" t="s">
        <v>31</v>
      </c>
      <c r="G46" s="191" t="s">
        <v>201</v>
      </c>
      <c r="H46" s="232" t="s">
        <v>1780</v>
      </c>
      <c r="I46" s="103" t="s">
        <v>2982</v>
      </c>
      <c r="J46" s="102"/>
      <c r="K46" s="102"/>
      <c r="L46" s="193" t="s">
        <v>1780</v>
      </c>
      <c r="M46" s="191" t="s">
        <v>51</v>
      </c>
      <c r="N46" s="49"/>
    </row>
    <row r="47" spans="1:14" ht="12.75">
      <c r="A47" s="50" t="s">
        <v>2210</v>
      </c>
      <c r="B47" s="402" t="s">
        <v>2215</v>
      </c>
      <c r="C47" s="194" t="s">
        <v>3029</v>
      </c>
      <c r="D47" s="195" t="s">
        <v>3030</v>
      </c>
      <c r="E47" s="195" t="s">
        <v>3031</v>
      </c>
      <c r="F47" s="195" t="s">
        <v>125</v>
      </c>
      <c r="G47" s="195" t="s">
        <v>1903</v>
      </c>
      <c r="H47" s="234" t="s">
        <v>2990</v>
      </c>
      <c r="I47" s="112" t="s">
        <v>2981</v>
      </c>
      <c r="J47" s="112" t="s">
        <v>2981</v>
      </c>
      <c r="K47" s="109"/>
      <c r="L47" s="111" t="s">
        <v>2990</v>
      </c>
      <c r="M47" s="195" t="s">
        <v>1674</v>
      </c>
      <c r="N47" s="49"/>
    </row>
    <row r="48" spans="1:14" ht="12.75">
      <c r="A48" s="50"/>
      <c r="B48" s="402"/>
      <c r="C48" s="89"/>
      <c r="D48" s="89"/>
      <c r="E48" s="89"/>
      <c r="F48" s="89"/>
      <c r="G48" s="89"/>
      <c r="H48" s="49"/>
      <c r="I48" s="49"/>
      <c r="J48" s="49"/>
      <c r="K48" s="49"/>
      <c r="L48" s="197"/>
      <c r="M48" s="89"/>
      <c r="N48" s="49"/>
    </row>
    <row r="49" spans="1:14" ht="15.75">
      <c r="A49" s="50"/>
      <c r="B49" s="402"/>
      <c r="C49" s="508" t="s">
        <v>3032</v>
      </c>
      <c r="D49" s="508"/>
      <c r="E49" s="508"/>
      <c r="F49" s="508"/>
      <c r="G49" s="508"/>
      <c r="H49" s="508"/>
      <c r="I49" s="508"/>
      <c r="J49" s="508"/>
      <c r="K49" s="508"/>
      <c r="L49" s="508"/>
      <c r="M49" s="89"/>
      <c r="N49" s="49"/>
    </row>
    <row r="50" spans="1:14" ht="12.75">
      <c r="A50" s="50" t="s">
        <v>2208</v>
      </c>
      <c r="B50" s="402" t="s">
        <v>3506</v>
      </c>
      <c r="C50" s="198" t="s">
        <v>3950</v>
      </c>
      <c r="D50" s="199" t="s">
        <v>3033</v>
      </c>
      <c r="E50" s="199" t="s">
        <v>3034</v>
      </c>
      <c r="F50" s="199" t="s">
        <v>2400</v>
      </c>
      <c r="G50" s="199" t="s">
        <v>1903</v>
      </c>
      <c r="H50" s="233" t="s">
        <v>2982</v>
      </c>
      <c r="I50" s="233" t="s">
        <v>1924</v>
      </c>
      <c r="J50" s="233" t="s">
        <v>1794</v>
      </c>
      <c r="K50" s="136" t="s">
        <v>3035</v>
      </c>
      <c r="L50" s="200" t="s">
        <v>1794</v>
      </c>
      <c r="M50" s="199" t="s">
        <v>2968</v>
      </c>
      <c r="N50" s="49"/>
    </row>
    <row r="51" spans="1:14" ht="12.75">
      <c r="A51" s="50"/>
      <c r="B51" s="402"/>
      <c r="C51" s="89"/>
      <c r="D51" s="89"/>
      <c r="E51" s="89"/>
      <c r="F51" s="89"/>
      <c r="G51" s="89"/>
      <c r="H51" s="49"/>
      <c r="I51" s="49"/>
      <c r="J51" s="49"/>
      <c r="K51" s="49"/>
      <c r="L51" s="197"/>
      <c r="M51" s="89"/>
      <c r="N51" s="49"/>
    </row>
    <row r="52" spans="1:14" ht="15.75">
      <c r="A52" s="50"/>
      <c r="B52" s="402"/>
      <c r="C52" s="508" t="s">
        <v>3036</v>
      </c>
      <c r="D52" s="508"/>
      <c r="E52" s="508"/>
      <c r="F52" s="508"/>
      <c r="G52" s="508"/>
      <c r="H52" s="508"/>
      <c r="I52" s="508"/>
      <c r="J52" s="508"/>
      <c r="K52" s="508"/>
      <c r="L52" s="508"/>
      <c r="M52" s="89"/>
      <c r="N52" s="49"/>
    </row>
    <row r="53" spans="1:14" ht="12.75">
      <c r="A53" s="50" t="s">
        <v>2208</v>
      </c>
      <c r="B53" s="402"/>
      <c r="C53" s="198" t="s">
        <v>3951</v>
      </c>
      <c r="D53" s="199" t="s">
        <v>3038</v>
      </c>
      <c r="E53" s="199" t="s">
        <v>3039</v>
      </c>
      <c r="F53" s="199" t="s">
        <v>31</v>
      </c>
      <c r="G53" s="199" t="s">
        <v>3113</v>
      </c>
      <c r="H53" s="233" t="s">
        <v>2994</v>
      </c>
      <c r="I53" s="233" t="s">
        <v>1784</v>
      </c>
      <c r="J53" s="233" t="s">
        <v>3035</v>
      </c>
      <c r="K53" s="136" t="s">
        <v>1926</v>
      </c>
      <c r="L53" s="200" t="s">
        <v>3035</v>
      </c>
      <c r="M53" s="199" t="s">
        <v>3040</v>
      </c>
      <c r="N53" s="49"/>
    </row>
    <row r="54" spans="1:14" ht="12.75">
      <c r="A54" s="50"/>
      <c r="B54" s="402"/>
      <c r="C54" s="89"/>
      <c r="D54" s="89"/>
      <c r="E54" s="89"/>
      <c r="F54" s="89"/>
      <c r="G54" s="89"/>
      <c r="H54" s="49"/>
      <c r="I54" s="49"/>
      <c r="J54" s="49"/>
      <c r="K54" s="49"/>
      <c r="L54" s="197"/>
      <c r="M54" s="89"/>
      <c r="N54" s="49"/>
    </row>
    <row r="55" spans="1:14" ht="15.75">
      <c r="A55" s="50"/>
      <c r="B55" s="402"/>
      <c r="C55" s="508" t="s">
        <v>499</v>
      </c>
      <c r="D55" s="508"/>
      <c r="E55" s="508"/>
      <c r="F55" s="508"/>
      <c r="G55" s="508"/>
      <c r="H55" s="508"/>
      <c r="I55" s="508"/>
      <c r="J55" s="508"/>
      <c r="K55" s="508"/>
      <c r="L55" s="508"/>
      <c r="M55" s="89"/>
      <c r="N55" s="49"/>
    </row>
    <row r="56" spans="1:14" ht="12.75">
      <c r="A56" s="50" t="s">
        <v>2208</v>
      </c>
      <c r="B56" s="402"/>
      <c r="C56" s="187" t="s">
        <v>3951</v>
      </c>
      <c r="D56" s="188" t="s">
        <v>3041</v>
      </c>
      <c r="E56" s="188" t="s">
        <v>3042</v>
      </c>
      <c r="F56" s="188" t="s">
        <v>31</v>
      </c>
      <c r="G56" s="188" t="s">
        <v>3113</v>
      </c>
      <c r="H56" s="231" t="s">
        <v>2994</v>
      </c>
      <c r="I56" s="231" t="s">
        <v>1784</v>
      </c>
      <c r="J56" s="231" t="s">
        <v>3035</v>
      </c>
      <c r="K56" s="121" t="s">
        <v>1926</v>
      </c>
      <c r="L56" s="110" t="s">
        <v>3035</v>
      </c>
      <c r="M56" s="188" t="s">
        <v>3040</v>
      </c>
      <c r="N56" s="49"/>
    </row>
    <row r="57" spans="1:14" ht="12.75">
      <c r="A57" s="50" t="s">
        <v>2209</v>
      </c>
      <c r="B57" s="402"/>
      <c r="C57" s="190" t="s">
        <v>3952</v>
      </c>
      <c r="D57" s="191" t="s">
        <v>3044</v>
      </c>
      <c r="E57" s="191" t="s">
        <v>3045</v>
      </c>
      <c r="F57" s="191" t="s">
        <v>31</v>
      </c>
      <c r="G57" s="191" t="s">
        <v>2980</v>
      </c>
      <c r="H57" s="232" t="s">
        <v>2994</v>
      </c>
      <c r="I57" s="232" t="s">
        <v>1924</v>
      </c>
      <c r="J57" s="232" t="s">
        <v>1794</v>
      </c>
      <c r="K57" s="103" t="s">
        <v>3035</v>
      </c>
      <c r="L57" s="193" t="s">
        <v>1794</v>
      </c>
      <c r="M57" s="191" t="s">
        <v>51</v>
      </c>
      <c r="N57" s="49"/>
    </row>
    <row r="58" spans="1:14" ht="12.75">
      <c r="A58" s="50" t="s">
        <v>2210</v>
      </c>
      <c r="B58" s="402" t="s">
        <v>2215</v>
      </c>
      <c r="C58" s="190" t="s">
        <v>3948</v>
      </c>
      <c r="D58" s="191" t="s">
        <v>3046</v>
      </c>
      <c r="E58" s="191" t="s">
        <v>273</v>
      </c>
      <c r="F58" s="191" t="s">
        <v>125</v>
      </c>
      <c r="G58" s="191" t="s">
        <v>3047</v>
      </c>
      <c r="H58" s="232" t="s">
        <v>1780</v>
      </c>
      <c r="I58" s="232" t="s">
        <v>2982</v>
      </c>
      <c r="J58" s="232" t="s">
        <v>2994</v>
      </c>
      <c r="K58" s="102"/>
      <c r="L58" s="193" t="s">
        <v>2994</v>
      </c>
      <c r="M58" s="191" t="s">
        <v>3048</v>
      </c>
      <c r="N58" s="49"/>
    </row>
    <row r="59" spans="1:14" ht="12.75">
      <c r="A59" s="50" t="s">
        <v>2211</v>
      </c>
      <c r="B59" s="402" t="s">
        <v>2214</v>
      </c>
      <c r="C59" s="194" t="s">
        <v>3029</v>
      </c>
      <c r="D59" s="195" t="s">
        <v>3049</v>
      </c>
      <c r="E59" s="195" t="s">
        <v>3050</v>
      </c>
      <c r="F59" s="195" t="s">
        <v>125</v>
      </c>
      <c r="G59" s="195" t="s">
        <v>1903</v>
      </c>
      <c r="H59" s="234" t="s">
        <v>2990</v>
      </c>
      <c r="I59" s="112" t="s">
        <v>2981</v>
      </c>
      <c r="J59" s="112" t="s">
        <v>2981</v>
      </c>
      <c r="K59" s="109"/>
      <c r="L59" s="111" t="s">
        <v>2990</v>
      </c>
      <c r="M59" s="195" t="s">
        <v>1674</v>
      </c>
      <c r="N59" s="49"/>
    </row>
    <row r="60" spans="1:14" ht="12.75">
      <c r="A60" s="50"/>
      <c r="B60" s="402"/>
      <c r="C60" s="89"/>
      <c r="D60" s="89"/>
      <c r="E60" s="89"/>
      <c r="F60" s="89"/>
      <c r="G60" s="89"/>
      <c r="H60" s="49"/>
      <c r="I60" s="49"/>
      <c r="J60" s="49"/>
      <c r="K60" s="49"/>
      <c r="L60" s="197"/>
      <c r="M60" s="89"/>
      <c r="N60" s="49"/>
    </row>
    <row r="61" spans="1:14" ht="12.75">
      <c r="A61" s="50"/>
      <c r="B61" s="402"/>
      <c r="C61" s="89"/>
      <c r="D61" s="89"/>
      <c r="E61" s="89"/>
      <c r="F61" s="49"/>
      <c r="G61" s="49"/>
      <c r="H61" s="49"/>
      <c r="I61" s="89"/>
      <c r="J61" s="49"/>
      <c r="K61" s="49"/>
      <c r="L61" s="49"/>
      <c r="M61" s="49"/>
      <c r="N61" s="49"/>
    </row>
    <row r="62" spans="1:14" ht="18">
      <c r="A62" s="50"/>
      <c r="B62" s="402"/>
      <c r="C62" s="202" t="s">
        <v>370</v>
      </c>
      <c r="D62" s="230"/>
      <c r="E62" s="49"/>
      <c r="F62" s="49"/>
      <c r="G62" s="49"/>
      <c r="H62" s="49"/>
      <c r="I62" s="89"/>
      <c r="J62" s="49"/>
      <c r="K62" s="49"/>
      <c r="L62" s="49"/>
      <c r="M62" s="49"/>
      <c r="N62" s="49"/>
    </row>
    <row r="63" spans="1:14" ht="15.75">
      <c r="A63" s="50"/>
      <c r="B63" s="402"/>
      <c r="C63" s="263" t="s">
        <v>371</v>
      </c>
      <c r="D63" s="78"/>
      <c r="E63" s="49"/>
      <c r="F63" s="49"/>
      <c r="G63" s="49"/>
      <c r="H63" s="49"/>
      <c r="I63" s="89"/>
      <c r="J63" s="49"/>
      <c r="K63" s="49"/>
      <c r="L63" s="49"/>
      <c r="M63" s="49"/>
      <c r="N63" s="49"/>
    </row>
    <row r="64" spans="1:14" ht="13.5">
      <c r="A64" s="50"/>
      <c r="B64" s="402"/>
      <c r="C64" s="204"/>
      <c r="D64" s="118"/>
      <c r="E64" s="49"/>
      <c r="F64" s="49"/>
      <c r="G64" s="49"/>
      <c r="H64" s="49"/>
      <c r="I64" s="89"/>
      <c r="J64" s="49"/>
      <c r="K64" s="49"/>
      <c r="L64" s="49"/>
      <c r="M64" s="49"/>
      <c r="N64" s="49"/>
    </row>
    <row r="65" spans="1:14" ht="13.5">
      <c r="A65" s="50"/>
      <c r="B65" s="402"/>
      <c r="C65" s="26" t="s">
        <v>373</v>
      </c>
      <c r="D65" s="181" t="s">
        <v>374</v>
      </c>
      <c r="E65" s="181" t="s">
        <v>375</v>
      </c>
      <c r="F65" s="181" t="s">
        <v>376</v>
      </c>
      <c r="G65" s="49"/>
      <c r="H65" s="49"/>
      <c r="I65" s="89"/>
      <c r="J65" s="49"/>
      <c r="K65" s="49"/>
      <c r="L65" s="49"/>
      <c r="M65" s="49"/>
      <c r="N65" s="49"/>
    </row>
    <row r="66" spans="1:14" ht="12.75">
      <c r="A66" s="50" t="s">
        <v>2208</v>
      </c>
      <c r="B66" s="402"/>
      <c r="C66" s="90" t="s">
        <v>2970</v>
      </c>
      <c r="D66" s="49" t="s">
        <v>372</v>
      </c>
      <c r="E66" s="50" t="s">
        <v>3051</v>
      </c>
      <c r="F66" s="50" t="s">
        <v>2973</v>
      </c>
      <c r="G66" s="49"/>
      <c r="H66" s="49"/>
      <c r="I66" s="89"/>
      <c r="J66" s="49"/>
      <c r="K66" s="49"/>
      <c r="L66" s="49"/>
      <c r="M66" s="49"/>
      <c r="N66" s="49"/>
    </row>
    <row r="67" spans="1:14" ht="12.75">
      <c r="A67" s="50" t="s">
        <v>2209</v>
      </c>
      <c r="B67" s="402"/>
      <c r="C67" s="90" t="s">
        <v>2964</v>
      </c>
      <c r="D67" s="49" t="s">
        <v>372</v>
      </c>
      <c r="E67" s="50" t="s">
        <v>2321</v>
      </c>
      <c r="F67" s="50" t="s">
        <v>2966</v>
      </c>
      <c r="G67" s="49"/>
      <c r="H67" s="49"/>
      <c r="I67" s="89"/>
      <c r="J67" s="49"/>
      <c r="K67" s="49"/>
      <c r="L67" s="49"/>
      <c r="M67" s="49"/>
      <c r="N67" s="49"/>
    </row>
    <row r="68" spans="1:14" ht="12.75">
      <c r="A68" s="50" t="s">
        <v>2210</v>
      </c>
      <c r="B68" s="402"/>
      <c r="C68" s="90" t="s">
        <v>2957</v>
      </c>
      <c r="D68" s="49" t="s">
        <v>372</v>
      </c>
      <c r="E68" s="50" t="s">
        <v>2436</v>
      </c>
      <c r="F68" s="50" t="s">
        <v>2801</v>
      </c>
      <c r="G68" s="49"/>
      <c r="H68" s="49"/>
      <c r="I68" s="89"/>
      <c r="J68" s="49"/>
      <c r="K68" s="49"/>
      <c r="L68" s="197"/>
      <c r="M68" s="89"/>
      <c r="N68" s="49"/>
    </row>
    <row r="69" spans="1:14" ht="12.75">
      <c r="A69" s="50"/>
      <c r="B69" s="402"/>
      <c r="C69" s="197"/>
      <c r="D69" s="49"/>
      <c r="E69" s="49"/>
      <c r="F69" s="49"/>
      <c r="G69" s="49"/>
      <c r="H69" s="49"/>
      <c r="I69" s="89"/>
      <c r="J69" s="49"/>
      <c r="K69" s="49"/>
      <c r="L69" s="49"/>
      <c r="M69" s="49"/>
      <c r="N69" s="49"/>
    </row>
    <row r="70" spans="1:14" ht="15.75">
      <c r="A70" s="50"/>
      <c r="B70" s="402"/>
      <c r="C70" s="263" t="s">
        <v>387</v>
      </c>
      <c r="D70" s="78"/>
      <c r="E70" s="49"/>
      <c r="F70" s="49"/>
      <c r="G70" s="49"/>
      <c r="H70" s="49"/>
      <c r="I70" s="89"/>
      <c r="J70" s="49"/>
      <c r="K70" s="49"/>
      <c r="L70" s="49"/>
      <c r="M70" s="49"/>
      <c r="N70" s="49"/>
    </row>
    <row r="71" spans="1:14" ht="13.5">
      <c r="A71" s="50"/>
      <c r="B71" s="402"/>
      <c r="C71" s="204"/>
      <c r="D71" s="118"/>
      <c r="E71" s="49"/>
      <c r="F71" s="49"/>
      <c r="G71" s="49"/>
      <c r="H71" s="49"/>
      <c r="I71" s="89"/>
      <c r="J71" s="49"/>
      <c r="K71" s="49"/>
      <c r="L71" s="49"/>
      <c r="M71" s="49"/>
      <c r="N71" s="49"/>
    </row>
    <row r="72" spans="1:14" ht="13.5">
      <c r="A72" s="50"/>
      <c r="B72" s="402"/>
      <c r="C72" s="26" t="s">
        <v>373</v>
      </c>
      <c r="D72" s="181" t="s">
        <v>374</v>
      </c>
      <c r="E72" s="181" t="s">
        <v>375</v>
      </c>
      <c r="F72" s="181" t="s">
        <v>376</v>
      </c>
      <c r="G72" s="49"/>
      <c r="H72" s="49"/>
      <c r="I72" s="89"/>
      <c r="J72" s="49"/>
      <c r="K72" s="49"/>
      <c r="L72" s="49"/>
      <c r="M72" s="49"/>
      <c r="N72" s="49"/>
    </row>
    <row r="73" spans="1:14" ht="12.75">
      <c r="A73" s="50" t="s">
        <v>2208</v>
      </c>
      <c r="B73" s="402"/>
      <c r="C73" s="90" t="s">
        <v>234</v>
      </c>
      <c r="D73" s="49" t="s">
        <v>3052</v>
      </c>
      <c r="E73" s="50" t="s">
        <v>3053</v>
      </c>
      <c r="F73" s="50" t="s">
        <v>1794</v>
      </c>
      <c r="G73" s="49"/>
      <c r="H73" s="49"/>
      <c r="I73" s="89"/>
      <c r="J73" s="49"/>
      <c r="K73" s="49"/>
      <c r="L73" s="49"/>
      <c r="M73" s="49"/>
      <c r="N73" s="49"/>
    </row>
    <row r="74" spans="1:14" ht="12.75">
      <c r="A74" s="50" t="s">
        <v>2209</v>
      </c>
      <c r="B74" s="402"/>
      <c r="C74" s="90" t="s">
        <v>2991</v>
      </c>
      <c r="D74" s="49" t="s">
        <v>3052</v>
      </c>
      <c r="E74" s="50" t="s">
        <v>1685</v>
      </c>
      <c r="F74" s="50" t="s">
        <v>1924</v>
      </c>
      <c r="G74" s="49"/>
      <c r="H74" s="49"/>
      <c r="I74" s="89"/>
      <c r="J74" s="49"/>
      <c r="K74" s="49"/>
      <c r="L74" s="49"/>
      <c r="M74" s="49"/>
      <c r="N74" s="49"/>
    </row>
    <row r="75" spans="1:14" ht="12.75">
      <c r="A75" s="50" t="s">
        <v>2210</v>
      </c>
      <c r="B75" s="402"/>
      <c r="C75" s="90" t="s">
        <v>2995</v>
      </c>
      <c r="D75" s="49" t="s">
        <v>3052</v>
      </c>
      <c r="E75" s="50" t="s">
        <v>1685</v>
      </c>
      <c r="F75" s="50" t="s">
        <v>2994</v>
      </c>
      <c r="G75" s="49"/>
      <c r="H75" s="49"/>
      <c r="I75" s="89"/>
      <c r="J75" s="49"/>
      <c r="K75" s="49"/>
      <c r="L75" s="49"/>
      <c r="M75" s="49"/>
      <c r="N75" s="49"/>
    </row>
    <row r="76" spans="1:14" ht="13.5">
      <c r="A76" s="50"/>
      <c r="B76" s="402"/>
      <c r="C76" s="204"/>
      <c r="D76" s="118"/>
      <c r="E76" s="49"/>
      <c r="F76" s="49"/>
      <c r="G76" s="49"/>
      <c r="H76" s="49"/>
      <c r="I76" s="89"/>
      <c r="J76" s="49"/>
      <c r="K76" s="49"/>
      <c r="L76" s="49"/>
      <c r="M76" s="49"/>
      <c r="N76" s="49"/>
    </row>
    <row r="77" spans="1:14" ht="13.5">
      <c r="A77" s="50"/>
      <c r="B77" s="402"/>
      <c r="C77" s="26" t="s">
        <v>373</v>
      </c>
      <c r="D77" s="181" t="s">
        <v>374</v>
      </c>
      <c r="E77" s="181" t="s">
        <v>375</v>
      </c>
      <c r="F77" s="181" t="s">
        <v>376</v>
      </c>
      <c r="G77" s="49"/>
      <c r="H77" s="49"/>
      <c r="I77" s="89"/>
      <c r="J77" s="49"/>
      <c r="K77" s="49"/>
      <c r="L77" s="49"/>
      <c r="M77" s="49"/>
      <c r="N77" s="49"/>
    </row>
    <row r="78" spans="1:14" ht="12.75">
      <c r="A78" s="50" t="s">
        <v>2208</v>
      </c>
      <c r="B78" s="402"/>
      <c r="C78" s="90" t="s">
        <v>3024</v>
      </c>
      <c r="D78" s="49" t="s">
        <v>372</v>
      </c>
      <c r="E78" s="50" t="s">
        <v>2320</v>
      </c>
      <c r="F78" s="50" t="s">
        <v>3026</v>
      </c>
      <c r="G78" s="49"/>
      <c r="H78" s="49"/>
      <c r="I78" s="89"/>
      <c r="J78" s="49"/>
      <c r="K78" s="49"/>
      <c r="L78" s="49"/>
      <c r="M78" s="49"/>
      <c r="N78" s="49"/>
    </row>
    <row r="79" spans="1:14" ht="12.75">
      <c r="A79" s="50" t="s">
        <v>2209</v>
      </c>
      <c r="B79" s="402"/>
      <c r="C79" s="90" t="s">
        <v>3019</v>
      </c>
      <c r="D79" s="49" t="s">
        <v>372</v>
      </c>
      <c r="E79" s="50" t="s">
        <v>1684</v>
      </c>
      <c r="F79" s="50" t="s">
        <v>3022</v>
      </c>
      <c r="G79" s="49"/>
      <c r="H79" s="49"/>
      <c r="I79" s="89"/>
      <c r="J79" s="49"/>
      <c r="K79" s="49"/>
      <c r="L79" s="49"/>
      <c r="M79" s="49"/>
      <c r="N79" s="49"/>
    </row>
    <row r="80" spans="1:14" ht="12.75">
      <c r="A80" s="50" t="s">
        <v>2210</v>
      </c>
      <c r="B80" s="402"/>
      <c r="C80" s="90" t="s">
        <v>3037</v>
      </c>
      <c r="D80" s="49" t="s">
        <v>372</v>
      </c>
      <c r="E80" s="50" t="s">
        <v>3054</v>
      </c>
      <c r="F80" s="50" t="s">
        <v>3035</v>
      </c>
      <c r="G80" s="49"/>
      <c r="H80" s="49"/>
      <c r="I80" s="89"/>
      <c r="J80" s="49"/>
      <c r="K80" s="49"/>
      <c r="L80" s="49"/>
      <c r="M80" s="49"/>
      <c r="N80" s="49"/>
    </row>
    <row r="81" spans="1:14" ht="13.5">
      <c r="A81" s="50"/>
      <c r="B81" s="402"/>
      <c r="C81" s="204"/>
      <c r="D81" s="118"/>
      <c r="E81" s="49"/>
      <c r="F81" s="49"/>
      <c r="G81" s="49"/>
      <c r="H81" s="49"/>
      <c r="I81" s="89"/>
      <c r="J81" s="49"/>
      <c r="K81" s="49"/>
      <c r="L81" s="49"/>
      <c r="M81" s="49"/>
      <c r="N81" s="49"/>
    </row>
    <row r="82" spans="1:14" ht="13.5">
      <c r="A82" s="50"/>
      <c r="B82" s="402"/>
      <c r="C82" s="26" t="s">
        <v>373</v>
      </c>
      <c r="D82" s="181" t="s">
        <v>374</v>
      </c>
      <c r="E82" s="181" t="s">
        <v>375</v>
      </c>
      <c r="F82" s="181" t="s">
        <v>376</v>
      </c>
      <c r="G82" s="49"/>
      <c r="H82" s="49"/>
      <c r="I82" s="89"/>
      <c r="J82" s="49"/>
      <c r="K82" s="49"/>
      <c r="L82" s="49"/>
      <c r="M82" s="49"/>
      <c r="N82" s="49"/>
    </row>
    <row r="83" spans="1:14" ht="12.75">
      <c r="A83" s="50" t="s">
        <v>2208</v>
      </c>
      <c r="B83" s="402"/>
      <c r="C83" s="90" t="s">
        <v>3037</v>
      </c>
      <c r="D83" s="49" t="s">
        <v>3055</v>
      </c>
      <c r="E83" s="50" t="s">
        <v>771</v>
      </c>
      <c r="F83" s="50" t="s">
        <v>3035</v>
      </c>
      <c r="G83" s="49"/>
      <c r="H83" s="49"/>
      <c r="I83" s="89"/>
      <c r="J83" s="49"/>
      <c r="K83" s="49"/>
      <c r="L83" s="49"/>
      <c r="M83" s="49"/>
      <c r="N83" s="49"/>
    </row>
    <row r="84" spans="1:14" ht="12.75">
      <c r="A84" s="50" t="s">
        <v>2209</v>
      </c>
      <c r="B84" s="402"/>
      <c r="C84" s="90" t="s">
        <v>3043</v>
      </c>
      <c r="D84" s="49" t="s">
        <v>3055</v>
      </c>
      <c r="E84" s="50" t="s">
        <v>771</v>
      </c>
      <c r="F84" s="50" t="s">
        <v>1794</v>
      </c>
      <c r="G84" s="49"/>
      <c r="H84" s="49"/>
      <c r="I84" s="89"/>
      <c r="J84" s="49"/>
      <c r="K84" s="49"/>
      <c r="L84" s="49"/>
      <c r="M84" s="49"/>
      <c r="N84" s="49"/>
    </row>
    <row r="85" spans="1:14" ht="12.75">
      <c r="A85" s="50" t="s">
        <v>2210</v>
      </c>
      <c r="B85" s="402"/>
      <c r="C85" s="90" t="s">
        <v>3000</v>
      </c>
      <c r="D85" s="49" t="s">
        <v>3055</v>
      </c>
      <c r="E85" s="50" t="s">
        <v>1685</v>
      </c>
      <c r="F85" s="50" t="s">
        <v>1784</v>
      </c>
      <c r="G85" s="49"/>
      <c r="H85" s="49"/>
      <c r="I85" s="89"/>
      <c r="J85" s="49"/>
      <c r="K85" s="49"/>
      <c r="L85" s="49"/>
      <c r="M85" s="49"/>
      <c r="N85" s="49"/>
    </row>
    <row r="86" spans="1:14" ht="12.75">
      <c r="A86" s="50"/>
      <c r="B86" s="402"/>
      <c r="C86" s="49"/>
      <c r="D86" s="49"/>
      <c r="E86" s="49"/>
      <c r="F86" s="49"/>
      <c r="G86" s="89"/>
      <c r="H86" s="49"/>
      <c r="I86" s="49"/>
      <c r="J86" s="49"/>
      <c r="K86" s="49"/>
      <c r="L86" s="197"/>
      <c r="M86" s="89"/>
      <c r="N86" s="49"/>
    </row>
    <row r="87" spans="1:14" ht="12.75">
      <c r="A87" s="50"/>
      <c r="B87" s="402"/>
      <c r="C87" s="89"/>
      <c r="D87" s="89"/>
      <c r="E87" s="89"/>
      <c r="F87" s="89"/>
      <c r="G87" s="89"/>
      <c r="H87" s="49"/>
      <c r="I87" s="49"/>
      <c r="J87" s="49"/>
      <c r="K87" s="49"/>
      <c r="L87" s="197"/>
      <c r="M87" s="89"/>
      <c r="N87" s="49"/>
    </row>
    <row r="88" spans="1:14" ht="12.75">
      <c r="A88" s="50"/>
      <c r="B88" s="402"/>
      <c r="C88" s="89"/>
      <c r="D88" s="89"/>
      <c r="E88" s="89"/>
      <c r="F88" s="89"/>
      <c r="G88" s="89"/>
      <c r="H88" s="49"/>
      <c r="I88" s="49"/>
      <c r="J88" s="49"/>
      <c r="K88" s="49"/>
      <c r="L88" s="197"/>
      <c r="M88" s="89"/>
      <c r="N88" s="49"/>
    </row>
    <row r="89" spans="1:14" ht="12.75">
      <c r="A89" s="50"/>
      <c r="B89" s="402"/>
      <c r="C89" s="89"/>
      <c r="D89" s="89"/>
      <c r="E89" s="89"/>
      <c r="F89" s="89"/>
      <c r="G89" s="89"/>
      <c r="H89" s="49"/>
      <c r="I89" s="49"/>
      <c r="J89" s="49"/>
      <c r="K89" s="49"/>
      <c r="L89" s="197"/>
      <c r="M89" s="89"/>
      <c r="N89" s="49"/>
    </row>
    <row r="90" spans="1:14" ht="12.75">
      <c r="A90" s="50"/>
      <c r="B90" s="402"/>
      <c r="C90" s="89"/>
      <c r="D90" s="89"/>
      <c r="E90" s="89"/>
      <c r="F90" s="89"/>
      <c r="G90" s="89"/>
      <c r="H90" s="49"/>
      <c r="I90" s="49"/>
      <c r="J90" s="49"/>
      <c r="K90" s="49"/>
      <c r="L90" s="197"/>
      <c r="M90" s="89"/>
      <c r="N90" s="49"/>
    </row>
    <row r="91" spans="1:14" ht="12.75">
      <c r="A91" s="50"/>
      <c r="B91" s="402"/>
      <c r="C91" s="89"/>
      <c r="D91" s="89"/>
      <c r="E91" s="89"/>
      <c r="F91" s="89"/>
      <c r="G91" s="89"/>
      <c r="H91" s="49"/>
      <c r="I91" s="49"/>
      <c r="J91" s="49"/>
      <c r="K91" s="49"/>
      <c r="L91" s="197"/>
      <c r="M91" s="89"/>
      <c r="N91" s="49"/>
    </row>
  </sheetData>
  <sheetProtection/>
  <mergeCells count="23">
    <mergeCell ref="C49:L49"/>
    <mergeCell ref="C52:L52"/>
    <mergeCell ref="C55:L55"/>
    <mergeCell ref="C13:L13"/>
    <mergeCell ref="C17:L17"/>
    <mergeCell ref="C23:L23"/>
    <mergeCell ref="C34:L34"/>
    <mergeCell ref="A3:A4"/>
    <mergeCell ref="C3:C4"/>
    <mergeCell ref="D3:D4"/>
    <mergeCell ref="E3:E4"/>
    <mergeCell ref="F3:F4"/>
    <mergeCell ref="G3:G4"/>
    <mergeCell ref="B3:B4"/>
    <mergeCell ref="H3:K3"/>
    <mergeCell ref="L3:L4"/>
    <mergeCell ref="C40:L40"/>
    <mergeCell ref="C44:L44"/>
    <mergeCell ref="C1:M1"/>
    <mergeCell ref="C2:M2"/>
    <mergeCell ref="M3:M4"/>
    <mergeCell ref="C5:L5"/>
    <mergeCell ref="C10:L10"/>
  </mergeCells>
  <printOptions/>
  <pageMargins left="0.75" right="0.75" top="1" bottom="1" header="0.5" footer="0.5"/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1:W65"/>
  <sheetViews>
    <sheetView workbookViewId="0" topLeftCell="A29">
      <selection activeCell="D35" sqref="D35"/>
    </sheetView>
  </sheetViews>
  <sheetFormatPr defaultColWidth="8.75390625" defaultRowHeight="12.75"/>
  <cols>
    <col min="1" max="1" width="8.00390625" style="29" customWidth="1"/>
    <col min="2" max="2" width="12.00390625" style="445" customWidth="1"/>
    <col min="3" max="3" width="23.375" style="15" customWidth="1"/>
    <col min="4" max="4" width="26.00390625" style="15" customWidth="1"/>
    <col min="5" max="5" width="11.00390625" style="15" customWidth="1"/>
    <col min="6" max="6" width="8.375" style="15" bestFit="1" customWidth="1"/>
    <col min="7" max="7" width="27.625" style="15" customWidth="1"/>
    <col min="8" max="8" width="39.00390625" style="15" bestFit="1" customWidth="1"/>
    <col min="9" max="9" width="5.75390625" style="15" customWidth="1"/>
    <col min="10" max="15" width="5.625" style="15" bestFit="1" customWidth="1"/>
    <col min="16" max="16" width="4.625" style="15" bestFit="1" customWidth="1"/>
    <col min="17" max="19" width="5.625" style="15" bestFit="1" customWidth="1"/>
    <col min="20" max="20" width="4.625" style="15" bestFit="1" customWidth="1"/>
    <col min="21" max="21" width="7.875" style="30" bestFit="1" customWidth="1"/>
    <col min="22" max="22" width="8.625" style="15" bestFit="1" customWidth="1"/>
    <col min="23" max="23" width="15.25390625" style="15" customWidth="1"/>
  </cols>
  <sheetData>
    <row r="1" spans="1:23" s="1" customFormat="1" ht="15" customHeight="1">
      <c r="A1" s="28"/>
      <c r="B1" s="443"/>
      <c r="C1" s="552" t="s">
        <v>2170</v>
      </c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</row>
    <row r="2" spans="1:23" s="1" customFormat="1" ht="82.5" customHeight="1" thickBot="1">
      <c r="A2" s="28"/>
      <c r="B2" s="44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</row>
    <row r="3" spans="1:23" s="2" customFormat="1" ht="12.75" customHeight="1">
      <c r="A3" s="546" t="s">
        <v>1627</v>
      </c>
      <c r="B3" s="516" t="s">
        <v>4516</v>
      </c>
      <c r="C3" s="542" t="s">
        <v>0</v>
      </c>
      <c r="D3" s="548" t="s">
        <v>1628</v>
      </c>
      <c r="E3" s="548" t="s">
        <v>1629</v>
      </c>
      <c r="F3" s="542" t="s">
        <v>9</v>
      </c>
      <c r="G3" s="542" t="s">
        <v>7</v>
      </c>
      <c r="H3" s="514" t="s">
        <v>3275</v>
      </c>
      <c r="I3" s="542" t="s">
        <v>1</v>
      </c>
      <c r="J3" s="542"/>
      <c r="K3" s="542"/>
      <c r="L3" s="542"/>
      <c r="M3" s="542" t="s">
        <v>2</v>
      </c>
      <c r="N3" s="542"/>
      <c r="O3" s="542"/>
      <c r="P3" s="542"/>
      <c r="Q3" s="542" t="s">
        <v>3</v>
      </c>
      <c r="R3" s="542"/>
      <c r="S3" s="542"/>
      <c r="T3" s="542"/>
      <c r="U3" s="550" t="s">
        <v>4</v>
      </c>
      <c r="V3" s="542" t="s">
        <v>6</v>
      </c>
      <c r="W3" s="544" t="s">
        <v>5</v>
      </c>
    </row>
    <row r="4" spans="1:23" s="2" customFormat="1" ht="21" customHeight="1" thickBot="1">
      <c r="A4" s="547"/>
      <c r="B4" s="517"/>
      <c r="C4" s="543"/>
      <c r="D4" s="543"/>
      <c r="E4" s="549"/>
      <c r="F4" s="543"/>
      <c r="G4" s="543"/>
      <c r="H4" s="515"/>
      <c r="I4" s="3">
        <v>1</v>
      </c>
      <c r="J4" s="3">
        <v>2</v>
      </c>
      <c r="K4" s="3">
        <v>3</v>
      </c>
      <c r="L4" s="3" t="s">
        <v>8</v>
      </c>
      <c r="M4" s="3">
        <v>1</v>
      </c>
      <c r="N4" s="3">
        <v>2</v>
      </c>
      <c r="O4" s="3">
        <v>3</v>
      </c>
      <c r="P4" s="3" t="s">
        <v>8</v>
      </c>
      <c r="Q4" s="3">
        <v>1</v>
      </c>
      <c r="R4" s="3">
        <v>2</v>
      </c>
      <c r="S4" s="3">
        <v>3</v>
      </c>
      <c r="T4" s="3" t="s">
        <v>8</v>
      </c>
      <c r="U4" s="551"/>
      <c r="V4" s="543"/>
      <c r="W4" s="545"/>
    </row>
    <row r="5" spans="2:22" ht="15.75">
      <c r="B5" s="410"/>
      <c r="C5" s="526" t="s">
        <v>80</v>
      </c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</row>
    <row r="6" spans="1:23" ht="12.75">
      <c r="A6" s="29">
        <v>1</v>
      </c>
      <c r="B6" s="450">
        <v>12</v>
      </c>
      <c r="C6" s="20" t="s">
        <v>4602</v>
      </c>
      <c r="D6" s="20" t="s">
        <v>1016</v>
      </c>
      <c r="E6" s="20" t="s">
        <v>1972</v>
      </c>
      <c r="F6" s="20" t="str">
        <f>"1,1178"</f>
        <v>1,1178</v>
      </c>
      <c r="G6" s="20" t="s">
        <v>54</v>
      </c>
      <c r="H6" s="20" t="s">
        <v>1737</v>
      </c>
      <c r="I6" s="134" t="s">
        <v>25</v>
      </c>
      <c r="J6" s="134" t="s">
        <v>88</v>
      </c>
      <c r="K6" s="45" t="s">
        <v>447</v>
      </c>
      <c r="L6" s="31"/>
      <c r="M6" s="134" t="s">
        <v>416</v>
      </c>
      <c r="N6" s="45" t="s">
        <v>57</v>
      </c>
      <c r="O6" s="45" t="s">
        <v>57</v>
      </c>
      <c r="P6" s="31"/>
      <c r="Q6" s="134" t="s">
        <v>88</v>
      </c>
      <c r="R6" s="45" t="s">
        <v>89</v>
      </c>
      <c r="S6" s="134" t="s">
        <v>101</v>
      </c>
      <c r="T6" s="31"/>
      <c r="U6" s="32">
        <v>322.5</v>
      </c>
      <c r="V6" s="33" t="s">
        <v>2242</v>
      </c>
      <c r="W6" s="20" t="s">
        <v>1839</v>
      </c>
    </row>
    <row r="7" ht="12.75">
      <c r="B7" s="468"/>
    </row>
    <row r="8" spans="2:22" ht="15.75">
      <c r="B8" s="434"/>
      <c r="C8" s="541" t="s">
        <v>18</v>
      </c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</row>
    <row r="9" spans="1:23" ht="12.75">
      <c r="A9" s="29">
        <v>1</v>
      </c>
      <c r="B9" s="448">
        <v>12</v>
      </c>
      <c r="C9" s="20" t="s">
        <v>1017</v>
      </c>
      <c r="D9" s="20" t="s">
        <v>1018</v>
      </c>
      <c r="E9" s="20" t="s">
        <v>1852</v>
      </c>
      <c r="F9" s="20" t="str">
        <f>"1,0688"</f>
        <v>1,0688</v>
      </c>
      <c r="G9" s="20" t="s">
        <v>14</v>
      </c>
      <c r="H9" s="20" t="s">
        <v>1642</v>
      </c>
      <c r="I9" s="134" t="s">
        <v>70</v>
      </c>
      <c r="J9" s="134" t="s">
        <v>421</v>
      </c>
      <c r="K9" s="134" t="s">
        <v>432</v>
      </c>
      <c r="L9" s="31"/>
      <c r="M9" s="134" t="s">
        <v>39</v>
      </c>
      <c r="N9" s="134" t="s">
        <v>15</v>
      </c>
      <c r="O9" s="45" t="s">
        <v>40</v>
      </c>
      <c r="P9" s="31"/>
      <c r="Q9" s="134" t="s">
        <v>95</v>
      </c>
      <c r="R9" s="134" t="s">
        <v>57</v>
      </c>
      <c r="S9" s="134" t="s">
        <v>48</v>
      </c>
      <c r="T9" s="31"/>
      <c r="U9" s="34">
        <v>165</v>
      </c>
      <c r="V9" s="33" t="str">
        <f>"209,3298"</f>
        <v>209,3298</v>
      </c>
      <c r="W9" s="20" t="s">
        <v>1878</v>
      </c>
    </row>
    <row r="10" ht="12.75">
      <c r="B10" s="468"/>
    </row>
    <row r="11" spans="2:22" ht="15.75">
      <c r="B11" s="434"/>
      <c r="C11" s="541" t="s">
        <v>42</v>
      </c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1"/>
      <c r="U11" s="541"/>
      <c r="V11" s="541"/>
    </row>
    <row r="12" spans="1:23" ht="12.75">
      <c r="A12" s="29">
        <v>1</v>
      </c>
      <c r="B12" s="448">
        <v>24</v>
      </c>
      <c r="C12" s="17" t="s">
        <v>4499</v>
      </c>
      <c r="D12" s="17" t="s">
        <v>44</v>
      </c>
      <c r="E12" s="17" t="s">
        <v>2017</v>
      </c>
      <c r="F12" s="17" t="str">
        <f>"0,9579"</f>
        <v>0,9579</v>
      </c>
      <c r="G12" s="17" t="s">
        <v>2104</v>
      </c>
      <c r="H12" s="17" t="s">
        <v>47</v>
      </c>
      <c r="I12" s="138" t="s">
        <v>480</v>
      </c>
      <c r="J12" s="138" t="s">
        <v>132</v>
      </c>
      <c r="K12" s="138" t="s">
        <v>64</v>
      </c>
      <c r="L12" s="36"/>
      <c r="M12" s="138" t="s">
        <v>48</v>
      </c>
      <c r="N12" s="138" t="s">
        <v>49</v>
      </c>
      <c r="O12" s="46" t="s">
        <v>303</v>
      </c>
      <c r="P12" s="36"/>
      <c r="Q12" s="46" t="s">
        <v>64</v>
      </c>
      <c r="R12" s="46" t="s">
        <v>64</v>
      </c>
      <c r="S12" s="138" t="s">
        <v>64</v>
      </c>
      <c r="T12" s="36"/>
      <c r="U12" s="44">
        <v>410</v>
      </c>
      <c r="V12" s="35" t="str">
        <f>"392,7390"</f>
        <v>392,7390</v>
      </c>
      <c r="W12" s="17" t="s">
        <v>51</v>
      </c>
    </row>
    <row r="13" spans="1:23" ht="12.75">
      <c r="A13" s="29">
        <v>2</v>
      </c>
      <c r="B13" s="448">
        <v>21</v>
      </c>
      <c r="C13" s="19" t="s">
        <v>4500</v>
      </c>
      <c r="D13" s="19" t="s">
        <v>1020</v>
      </c>
      <c r="E13" s="19" t="s">
        <v>1652</v>
      </c>
      <c r="F13" s="19" t="str">
        <f>"0,9571"</f>
        <v>0,9571</v>
      </c>
      <c r="G13" s="19" t="s">
        <v>54</v>
      </c>
      <c r="H13" s="19" t="s">
        <v>1641</v>
      </c>
      <c r="I13" s="139" t="s">
        <v>446</v>
      </c>
      <c r="J13" s="139" t="s">
        <v>447</v>
      </c>
      <c r="K13" s="48" t="s">
        <v>100</v>
      </c>
      <c r="L13" s="42"/>
      <c r="M13" s="139" t="s">
        <v>49</v>
      </c>
      <c r="N13" s="139" t="s">
        <v>33</v>
      </c>
      <c r="O13" s="48" t="s">
        <v>303</v>
      </c>
      <c r="P13" s="42"/>
      <c r="Q13" s="48" t="s">
        <v>64</v>
      </c>
      <c r="R13" s="139" t="s">
        <v>153</v>
      </c>
      <c r="S13" s="139" t="s">
        <v>108</v>
      </c>
      <c r="T13" s="42"/>
      <c r="U13" s="43">
        <v>410</v>
      </c>
      <c r="V13" s="41" t="str">
        <f>"392,4110"</f>
        <v>392,4110</v>
      </c>
      <c r="W13" s="19" t="s">
        <v>1839</v>
      </c>
    </row>
    <row r="14" ht="12.75">
      <c r="B14" s="468"/>
    </row>
    <row r="15" spans="2:22" ht="15.75">
      <c r="B15" s="434"/>
      <c r="C15" s="541" t="s">
        <v>116</v>
      </c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1"/>
      <c r="O15" s="541"/>
      <c r="P15" s="541"/>
      <c r="Q15" s="541"/>
      <c r="R15" s="541"/>
      <c r="S15" s="541"/>
      <c r="T15" s="541"/>
      <c r="U15" s="541"/>
      <c r="V15" s="541"/>
    </row>
    <row r="16" spans="1:23" ht="12.75">
      <c r="A16" s="29">
        <v>1</v>
      </c>
      <c r="B16" s="450">
        <v>24</v>
      </c>
      <c r="C16" s="20" t="s">
        <v>4603</v>
      </c>
      <c r="D16" s="20" t="s">
        <v>1022</v>
      </c>
      <c r="E16" s="20" t="s">
        <v>1772</v>
      </c>
      <c r="F16" s="20" t="str">
        <f>"0,9235"</f>
        <v>0,9235</v>
      </c>
      <c r="G16" s="20" t="s">
        <v>130</v>
      </c>
      <c r="H16" s="20" t="s">
        <v>1023</v>
      </c>
      <c r="I16" s="134" t="s">
        <v>183</v>
      </c>
      <c r="J16" s="45" t="s">
        <v>153</v>
      </c>
      <c r="K16" s="134" t="s">
        <v>555</v>
      </c>
      <c r="L16" s="134" t="s">
        <v>126</v>
      </c>
      <c r="M16" s="134" t="s">
        <v>33</v>
      </c>
      <c r="N16" s="134" t="s">
        <v>451</v>
      </c>
      <c r="O16" s="45" t="s">
        <v>452</v>
      </c>
      <c r="P16" s="31"/>
      <c r="Q16" s="134" t="s">
        <v>2240</v>
      </c>
      <c r="R16" s="45" t="s">
        <v>190</v>
      </c>
      <c r="S16" s="45" t="s">
        <v>190</v>
      </c>
      <c r="T16" s="31"/>
      <c r="U16" s="32">
        <v>462.5</v>
      </c>
      <c r="V16" s="33" t="s">
        <v>2241</v>
      </c>
      <c r="W16" s="20" t="s">
        <v>2007</v>
      </c>
    </row>
    <row r="17" ht="12.75">
      <c r="B17" s="468"/>
    </row>
    <row r="18" spans="2:22" ht="15.75">
      <c r="B18" s="434"/>
      <c r="C18" s="541" t="s">
        <v>42</v>
      </c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</row>
    <row r="19" spans="1:23" ht="12.75">
      <c r="A19" s="29">
        <v>1</v>
      </c>
      <c r="B19" s="450"/>
      <c r="C19" s="20" t="s">
        <v>4604</v>
      </c>
      <c r="D19" s="20" t="s">
        <v>1025</v>
      </c>
      <c r="E19" s="20" t="s">
        <v>2018</v>
      </c>
      <c r="F19" s="20" t="str">
        <f>"0,7166"</f>
        <v>0,7166</v>
      </c>
      <c r="G19" s="20" t="s">
        <v>31</v>
      </c>
      <c r="H19" s="20" t="s">
        <v>1026</v>
      </c>
      <c r="I19" s="134" t="s">
        <v>175</v>
      </c>
      <c r="J19" s="45" t="s">
        <v>176</v>
      </c>
      <c r="K19" s="45" t="s">
        <v>176</v>
      </c>
      <c r="L19" s="31"/>
      <c r="M19" s="134" t="s">
        <v>480</v>
      </c>
      <c r="N19" s="45" t="s">
        <v>63</v>
      </c>
      <c r="O19" s="45" t="s">
        <v>63</v>
      </c>
      <c r="P19" s="31"/>
      <c r="Q19" s="134" t="s">
        <v>190</v>
      </c>
      <c r="R19" s="45" t="s">
        <v>830</v>
      </c>
      <c r="S19" s="45" t="s">
        <v>830</v>
      </c>
      <c r="T19" s="31"/>
      <c r="U19" s="32">
        <v>525</v>
      </c>
      <c r="V19" s="33" t="s">
        <v>3273</v>
      </c>
      <c r="W19" s="20" t="s">
        <v>1027</v>
      </c>
    </row>
    <row r="20" ht="12.75">
      <c r="B20" s="468"/>
    </row>
    <row r="21" spans="2:22" ht="15.75">
      <c r="B21" s="434"/>
      <c r="C21" s="541" t="s">
        <v>116</v>
      </c>
      <c r="D21" s="541"/>
      <c r="E21" s="541"/>
      <c r="F21" s="541"/>
      <c r="G21" s="541"/>
      <c r="H21" s="541"/>
      <c r="I21" s="541"/>
      <c r="J21" s="541"/>
      <c r="K21" s="541"/>
      <c r="L21" s="541"/>
      <c r="M21" s="541"/>
      <c r="N21" s="541"/>
      <c r="O21" s="541"/>
      <c r="P21" s="541"/>
      <c r="Q21" s="541"/>
      <c r="R21" s="541"/>
      <c r="S21" s="541"/>
      <c r="T21" s="541"/>
      <c r="U21" s="541"/>
      <c r="V21" s="541"/>
    </row>
    <row r="22" spans="1:23" ht="12.75">
      <c r="A22" s="29">
        <v>1</v>
      </c>
      <c r="B22" s="448"/>
      <c r="C22" s="17" t="s">
        <v>4501</v>
      </c>
      <c r="D22" s="17" t="s">
        <v>1028</v>
      </c>
      <c r="E22" s="84" t="s">
        <v>1688</v>
      </c>
      <c r="F22" s="17" t="str">
        <f>"0,6806"</f>
        <v>0,6806</v>
      </c>
      <c r="G22" s="84" t="s">
        <v>31</v>
      </c>
      <c r="H22" s="17" t="s">
        <v>603</v>
      </c>
      <c r="I22" s="147" t="s">
        <v>191</v>
      </c>
      <c r="J22" s="138" t="s">
        <v>237</v>
      </c>
      <c r="K22" s="147" t="s">
        <v>238</v>
      </c>
      <c r="L22" s="36"/>
      <c r="M22" s="147" t="s">
        <v>480</v>
      </c>
      <c r="N22" s="138" t="s">
        <v>132</v>
      </c>
      <c r="O22" s="85" t="s">
        <v>76</v>
      </c>
      <c r="P22" s="36"/>
      <c r="Q22" s="147" t="s">
        <v>913</v>
      </c>
      <c r="R22" s="138" t="s">
        <v>901</v>
      </c>
      <c r="S22" s="85" t="s">
        <v>1029</v>
      </c>
      <c r="T22" s="36"/>
      <c r="U22" s="151">
        <v>670</v>
      </c>
      <c r="V22" s="35" t="str">
        <f>"456,0020"</f>
        <v>456,0020</v>
      </c>
      <c r="W22" s="88" t="s">
        <v>51</v>
      </c>
    </row>
    <row r="23" spans="1:23" ht="12.75">
      <c r="A23" s="29">
        <v>2</v>
      </c>
      <c r="B23" s="450"/>
      <c r="C23" s="18" t="s">
        <v>4605</v>
      </c>
      <c r="D23" s="18" t="s">
        <v>1031</v>
      </c>
      <c r="E23" s="79" t="s">
        <v>1711</v>
      </c>
      <c r="F23" s="18" t="str">
        <f>"0,6838"</f>
        <v>0,6838</v>
      </c>
      <c r="G23" s="79" t="s">
        <v>31</v>
      </c>
      <c r="H23" s="18" t="s">
        <v>1032</v>
      </c>
      <c r="I23" s="146" t="s">
        <v>237</v>
      </c>
      <c r="J23" s="47" t="s">
        <v>238</v>
      </c>
      <c r="K23" s="146" t="s">
        <v>238</v>
      </c>
      <c r="L23" s="39"/>
      <c r="M23" s="146" t="s">
        <v>183</v>
      </c>
      <c r="N23" s="140" t="s">
        <v>555</v>
      </c>
      <c r="O23" s="80" t="s">
        <v>269</v>
      </c>
      <c r="P23" s="39"/>
      <c r="Q23" s="146" t="s">
        <v>319</v>
      </c>
      <c r="R23" s="47" t="s">
        <v>845</v>
      </c>
      <c r="S23" s="80" t="s">
        <v>845</v>
      </c>
      <c r="T23" s="39"/>
      <c r="U23" s="96">
        <v>652.5</v>
      </c>
      <c r="V23" s="38" t="s">
        <v>2239</v>
      </c>
      <c r="W23" s="93" t="s">
        <v>51</v>
      </c>
    </row>
    <row r="24" spans="1:23" ht="12.75">
      <c r="A24" s="29">
        <v>3</v>
      </c>
      <c r="B24" s="448"/>
      <c r="C24" s="19" t="s">
        <v>4502</v>
      </c>
      <c r="D24" s="19" t="s">
        <v>1030</v>
      </c>
      <c r="E24" s="98" t="s">
        <v>2019</v>
      </c>
      <c r="F24" s="19" t="str">
        <f>"0,6916"</f>
        <v>0,6916</v>
      </c>
      <c r="G24" s="98" t="s">
        <v>31</v>
      </c>
      <c r="H24" s="19" t="s">
        <v>1903</v>
      </c>
      <c r="I24" s="148" t="s">
        <v>77</v>
      </c>
      <c r="J24" s="139" t="s">
        <v>175</v>
      </c>
      <c r="K24" s="148" t="s">
        <v>190</v>
      </c>
      <c r="L24" s="42"/>
      <c r="M24" s="148" t="s">
        <v>88</v>
      </c>
      <c r="N24" s="139" t="s">
        <v>89</v>
      </c>
      <c r="O24" s="148" t="s">
        <v>551</v>
      </c>
      <c r="P24" s="42"/>
      <c r="Q24" s="148" t="s">
        <v>191</v>
      </c>
      <c r="R24" s="139" t="s">
        <v>245</v>
      </c>
      <c r="S24" s="148" t="s">
        <v>246</v>
      </c>
      <c r="T24" s="42"/>
      <c r="U24" s="152">
        <v>567.5</v>
      </c>
      <c r="V24" s="41" t="str">
        <f>"392,4830"</f>
        <v>392,4830</v>
      </c>
      <c r="W24" s="95" t="s">
        <v>2008</v>
      </c>
    </row>
    <row r="25" ht="12.75">
      <c r="B25" s="468"/>
    </row>
    <row r="26" spans="2:22" ht="15.75">
      <c r="B26" s="434"/>
      <c r="C26" s="541" t="s">
        <v>59</v>
      </c>
      <c r="D26" s="541"/>
      <c r="E26" s="541"/>
      <c r="F26" s="541"/>
      <c r="G26" s="541"/>
      <c r="H26" s="541"/>
      <c r="I26" s="541"/>
      <c r="J26" s="541"/>
      <c r="K26" s="541"/>
      <c r="L26" s="541"/>
      <c r="M26" s="541"/>
      <c r="N26" s="541"/>
      <c r="O26" s="541"/>
      <c r="P26" s="541"/>
      <c r="Q26" s="541"/>
      <c r="R26" s="541"/>
      <c r="S26" s="541"/>
      <c r="T26" s="541"/>
      <c r="U26" s="541"/>
      <c r="V26" s="541"/>
    </row>
    <row r="27" spans="1:23" ht="12.75">
      <c r="A27" s="29">
        <v>1</v>
      </c>
      <c r="B27" s="448">
        <v>24</v>
      </c>
      <c r="C27" s="17" t="s">
        <v>4356</v>
      </c>
      <c r="D27" s="17" t="s">
        <v>146</v>
      </c>
      <c r="E27" s="84" t="s">
        <v>1718</v>
      </c>
      <c r="F27" s="17" t="str">
        <f>"0,6424"</f>
        <v>0,6424</v>
      </c>
      <c r="G27" s="84" t="s">
        <v>148</v>
      </c>
      <c r="H27" s="17" t="s">
        <v>149</v>
      </c>
      <c r="I27" s="147" t="s">
        <v>190</v>
      </c>
      <c r="J27" s="46" t="s">
        <v>192</v>
      </c>
      <c r="K27" s="85" t="s">
        <v>192</v>
      </c>
      <c r="L27" s="36"/>
      <c r="M27" s="147" t="s">
        <v>127</v>
      </c>
      <c r="N27" s="138" t="s">
        <v>108</v>
      </c>
      <c r="O27" s="147" t="s">
        <v>120</v>
      </c>
      <c r="P27" s="36"/>
      <c r="Q27" s="85" t="s">
        <v>860</v>
      </c>
      <c r="R27" s="138" t="s">
        <v>860</v>
      </c>
      <c r="S27" s="85" t="s">
        <v>834</v>
      </c>
      <c r="T27" s="36"/>
      <c r="U27" s="151">
        <v>695</v>
      </c>
      <c r="V27" s="35" t="s">
        <v>2238</v>
      </c>
      <c r="W27" s="88" t="s">
        <v>1740</v>
      </c>
    </row>
    <row r="28" spans="1:23" ht="12.75">
      <c r="A28" s="29">
        <v>2</v>
      </c>
      <c r="B28" s="448"/>
      <c r="C28" s="18" t="s">
        <v>4364</v>
      </c>
      <c r="D28" s="18" t="s">
        <v>1033</v>
      </c>
      <c r="E28" s="79" t="s">
        <v>1677</v>
      </c>
      <c r="F28" s="18" t="str">
        <f>"0,6410"</f>
        <v>0,6410</v>
      </c>
      <c r="G28" s="79" t="s">
        <v>31</v>
      </c>
      <c r="H28" s="18" t="s">
        <v>1034</v>
      </c>
      <c r="I28" s="80" t="s">
        <v>317</v>
      </c>
      <c r="J28" s="140" t="s">
        <v>317</v>
      </c>
      <c r="K28" s="80" t="s">
        <v>319</v>
      </c>
      <c r="L28" s="39"/>
      <c r="M28" s="146" t="s">
        <v>132</v>
      </c>
      <c r="N28" s="140" t="s">
        <v>64</v>
      </c>
      <c r="O28" s="146" t="s">
        <v>183</v>
      </c>
      <c r="P28" s="39"/>
      <c r="Q28" s="146" t="s">
        <v>341</v>
      </c>
      <c r="R28" s="47" t="s">
        <v>913</v>
      </c>
      <c r="S28" s="146" t="s">
        <v>913</v>
      </c>
      <c r="T28" s="39"/>
      <c r="U28" s="150">
        <v>685</v>
      </c>
      <c r="V28" s="38" t="str">
        <f>"439,0850"</f>
        <v>439,0850</v>
      </c>
      <c r="W28" s="93" t="s">
        <v>51</v>
      </c>
    </row>
    <row r="29" spans="1:23" ht="12.75">
      <c r="A29" s="29">
        <v>3</v>
      </c>
      <c r="B29" s="448">
        <v>20</v>
      </c>
      <c r="C29" s="18" t="s">
        <v>4503</v>
      </c>
      <c r="D29" s="18" t="s">
        <v>1035</v>
      </c>
      <c r="E29" s="79" t="s">
        <v>2020</v>
      </c>
      <c r="F29" s="18" t="str">
        <f>"0,6413"</f>
        <v>0,6413</v>
      </c>
      <c r="G29" s="79" t="s">
        <v>161</v>
      </c>
      <c r="H29" s="18" t="s">
        <v>162</v>
      </c>
      <c r="I29" s="146" t="s">
        <v>246</v>
      </c>
      <c r="J29" s="140" t="s">
        <v>991</v>
      </c>
      <c r="K29" s="80" t="s">
        <v>319</v>
      </c>
      <c r="L29" s="39"/>
      <c r="M29" s="146" t="s">
        <v>555</v>
      </c>
      <c r="N29" s="140" t="s">
        <v>175</v>
      </c>
      <c r="O29" s="146" t="s">
        <v>108</v>
      </c>
      <c r="P29" s="39"/>
      <c r="Q29" s="146" t="s">
        <v>239</v>
      </c>
      <c r="R29" s="140" t="s">
        <v>883</v>
      </c>
      <c r="S29" s="80" t="s">
        <v>884</v>
      </c>
      <c r="T29" s="39"/>
      <c r="U29" s="150">
        <v>677.5</v>
      </c>
      <c r="V29" s="38" t="str">
        <f>"434,4808"</f>
        <v>434,4808</v>
      </c>
      <c r="W29" s="93" t="s">
        <v>1667</v>
      </c>
    </row>
    <row r="30" spans="1:23" ht="12.75">
      <c r="A30" s="29">
        <v>4</v>
      </c>
      <c r="B30" s="448"/>
      <c r="C30" s="18" t="s">
        <v>3884</v>
      </c>
      <c r="D30" s="18" t="s">
        <v>156</v>
      </c>
      <c r="E30" s="79" t="s">
        <v>1677</v>
      </c>
      <c r="F30" s="18" t="str">
        <f>"0,6410"</f>
        <v>0,6410</v>
      </c>
      <c r="G30" s="79" t="s">
        <v>31</v>
      </c>
      <c r="H30" s="18" t="s">
        <v>1675</v>
      </c>
      <c r="I30" s="146" t="s">
        <v>237</v>
      </c>
      <c r="J30" s="140" t="s">
        <v>238</v>
      </c>
      <c r="K30" s="146" t="s">
        <v>239</v>
      </c>
      <c r="L30" s="39"/>
      <c r="M30" s="146" t="s">
        <v>64</v>
      </c>
      <c r="N30" s="140" t="s">
        <v>153</v>
      </c>
      <c r="O30" s="146" t="s">
        <v>126</v>
      </c>
      <c r="P30" s="39"/>
      <c r="Q30" s="146" t="s">
        <v>319</v>
      </c>
      <c r="R30" s="140" t="s">
        <v>992</v>
      </c>
      <c r="S30" s="80" t="s">
        <v>846</v>
      </c>
      <c r="T30" s="39"/>
      <c r="U30" s="150">
        <v>675</v>
      </c>
      <c r="V30" s="38" t="str">
        <f>"432,6750"</f>
        <v>432,6750</v>
      </c>
      <c r="W30" s="93" t="s">
        <v>158</v>
      </c>
    </row>
    <row r="31" spans="1:23" ht="12.75">
      <c r="A31" s="29">
        <v>5</v>
      </c>
      <c r="B31" s="448"/>
      <c r="C31" s="19" t="s">
        <v>4504</v>
      </c>
      <c r="D31" s="19" t="s">
        <v>1036</v>
      </c>
      <c r="E31" s="98" t="s">
        <v>2021</v>
      </c>
      <c r="F31" s="19" t="str">
        <f>"0,6444"</f>
        <v>0,6444</v>
      </c>
      <c r="G31" s="98" t="s">
        <v>31</v>
      </c>
      <c r="H31" s="19" t="s">
        <v>1903</v>
      </c>
      <c r="I31" s="148" t="s">
        <v>108</v>
      </c>
      <c r="J31" s="139" t="s">
        <v>190</v>
      </c>
      <c r="K31" s="153" t="s">
        <v>191</v>
      </c>
      <c r="L31" s="42"/>
      <c r="M31" s="148" t="s">
        <v>551</v>
      </c>
      <c r="N31" s="139" t="s">
        <v>136</v>
      </c>
      <c r="O31" s="153" t="s">
        <v>132</v>
      </c>
      <c r="P31" s="42"/>
      <c r="Q31" s="148" t="s">
        <v>237</v>
      </c>
      <c r="R31" s="139" t="s">
        <v>238</v>
      </c>
      <c r="S31" s="153" t="s">
        <v>317</v>
      </c>
      <c r="T31" s="42"/>
      <c r="U31" s="152">
        <v>572.5</v>
      </c>
      <c r="V31" s="41" t="str">
        <f>"368,9190"</f>
        <v>368,9190</v>
      </c>
      <c r="W31" s="95" t="s">
        <v>2009</v>
      </c>
    </row>
    <row r="32" ht="12.75">
      <c r="B32" s="468"/>
    </row>
    <row r="33" spans="2:22" ht="15.75">
      <c r="B33" s="434"/>
      <c r="C33" s="541" t="s">
        <v>164</v>
      </c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1"/>
      <c r="O33" s="541"/>
      <c r="P33" s="541"/>
      <c r="Q33" s="541"/>
      <c r="R33" s="541"/>
      <c r="S33" s="541"/>
      <c r="T33" s="541"/>
      <c r="U33" s="541"/>
      <c r="V33" s="541"/>
    </row>
    <row r="34" spans="1:23" ht="12.75">
      <c r="A34" s="29">
        <v>1</v>
      </c>
      <c r="B34" s="448">
        <v>24</v>
      </c>
      <c r="C34" s="20" t="s">
        <v>4505</v>
      </c>
      <c r="D34" s="20" t="s">
        <v>1038</v>
      </c>
      <c r="E34" s="20" t="s">
        <v>2022</v>
      </c>
      <c r="F34" s="20" t="str">
        <f>"0,6206"</f>
        <v>0,6206</v>
      </c>
      <c r="G34" s="20" t="s">
        <v>54</v>
      </c>
      <c r="H34" s="20" t="s">
        <v>1641</v>
      </c>
      <c r="I34" s="134" t="s">
        <v>317</v>
      </c>
      <c r="J34" s="134" t="s">
        <v>845</v>
      </c>
      <c r="K34" s="134" t="s">
        <v>846</v>
      </c>
      <c r="L34" s="31"/>
      <c r="M34" s="134" t="s">
        <v>127</v>
      </c>
      <c r="N34" s="134" t="s">
        <v>176</v>
      </c>
      <c r="O34" s="134" t="s">
        <v>169</v>
      </c>
      <c r="P34" s="31"/>
      <c r="Q34" s="134" t="s">
        <v>341</v>
      </c>
      <c r="R34" s="45" t="s">
        <v>990</v>
      </c>
      <c r="S34" s="45" t="s">
        <v>990</v>
      </c>
      <c r="T34" s="31"/>
      <c r="U34" s="34">
        <v>742.5</v>
      </c>
      <c r="V34" s="33" t="str">
        <f>"460,7955"</f>
        <v>460,7955</v>
      </c>
      <c r="W34" s="20" t="s">
        <v>51</v>
      </c>
    </row>
    <row r="35" ht="12.75">
      <c r="B35" s="468"/>
    </row>
    <row r="36" spans="2:22" ht="15.75">
      <c r="B36" s="434"/>
      <c r="C36" s="541" t="s">
        <v>227</v>
      </c>
      <c r="D36" s="541"/>
      <c r="E36" s="541"/>
      <c r="F36" s="541"/>
      <c r="G36" s="541"/>
      <c r="H36" s="541"/>
      <c r="I36" s="541"/>
      <c r="J36" s="541"/>
      <c r="K36" s="541"/>
      <c r="L36" s="541"/>
      <c r="M36" s="541"/>
      <c r="N36" s="541"/>
      <c r="O36" s="541"/>
      <c r="P36" s="541"/>
      <c r="Q36" s="541"/>
      <c r="R36" s="541"/>
      <c r="S36" s="541"/>
      <c r="T36" s="541"/>
      <c r="U36" s="541"/>
      <c r="V36" s="541"/>
    </row>
    <row r="37" spans="1:23" ht="12.75">
      <c r="A37" s="29">
        <v>1</v>
      </c>
      <c r="B37" s="448"/>
      <c r="C37" s="17" t="s">
        <v>4506</v>
      </c>
      <c r="D37" s="17" t="s">
        <v>1039</v>
      </c>
      <c r="E37" s="17" t="s">
        <v>2023</v>
      </c>
      <c r="F37" s="17" t="str">
        <f>"0,5960"</f>
        <v>0,5960</v>
      </c>
      <c r="G37" s="17" t="s">
        <v>31</v>
      </c>
      <c r="H37" s="17" t="s">
        <v>2011</v>
      </c>
      <c r="I37" s="138" t="s">
        <v>319</v>
      </c>
      <c r="J37" s="138" t="s">
        <v>845</v>
      </c>
      <c r="K37" s="138" t="s">
        <v>341</v>
      </c>
      <c r="L37" s="36"/>
      <c r="M37" s="138" t="s">
        <v>126</v>
      </c>
      <c r="N37" s="138" t="s">
        <v>175</v>
      </c>
      <c r="O37" s="46" t="s">
        <v>108</v>
      </c>
      <c r="P37" s="36"/>
      <c r="Q37" s="138" t="s">
        <v>845</v>
      </c>
      <c r="R37" s="138" t="s">
        <v>341</v>
      </c>
      <c r="S37" s="138" t="s">
        <v>913</v>
      </c>
      <c r="T37" s="36"/>
      <c r="U37" s="44">
        <v>735</v>
      </c>
      <c r="V37" s="35" t="str">
        <f>"438,0600"</f>
        <v>438,0600</v>
      </c>
      <c r="W37" s="17" t="s">
        <v>51</v>
      </c>
    </row>
    <row r="38" spans="1:23" ht="12.75">
      <c r="A38" s="29">
        <v>1</v>
      </c>
      <c r="B38" s="450"/>
      <c r="C38" s="18" t="s">
        <v>4606</v>
      </c>
      <c r="D38" s="18" t="s">
        <v>1054</v>
      </c>
      <c r="E38" s="18" t="s">
        <v>2026</v>
      </c>
      <c r="F38" s="18" t="str">
        <f>"0,6015"</f>
        <v>0,6015</v>
      </c>
      <c r="G38" s="18" t="s">
        <v>31</v>
      </c>
      <c r="H38" s="18" t="s">
        <v>465</v>
      </c>
      <c r="I38" s="140" t="s">
        <v>913</v>
      </c>
      <c r="J38" s="140" t="s">
        <v>860</v>
      </c>
      <c r="K38" s="140" t="s">
        <v>835</v>
      </c>
      <c r="L38" s="39"/>
      <c r="M38" s="140" t="s">
        <v>127</v>
      </c>
      <c r="N38" s="140" t="s">
        <v>120</v>
      </c>
      <c r="O38" s="140" t="s">
        <v>121</v>
      </c>
      <c r="P38" s="39"/>
      <c r="Q38" s="140" t="s">
        <v>913</v>
      </c>
      <c r="R38" s="47" t="s">
        <v>860</v>
      </c>
      <c r="S38" s="47" t="s">
        <v>860</v>
      </c>
      <c r="T38" s="39"/>
      <c r="U38" s="52">
        <v>800</v>
      </c>
      <c r="V38" s="38" t="s">
        <v>2236</v>
      </c>
      <c r="W38" s="18" t="s">
        <v>2235</v>
      </c>
    </row>
    <row r="39" spans="1:23" ht="12.75">
      <c r="A39" s="29">
        <v>2</v>
      </c>
      <c r="B39" s="448">
        <v>21</v>
      </c>
      <c r="C39" s="18" t="s">
        <v>4420</v>
      </c>
      <c r="D39" s="18" t="s">
        <v>1041</v>
      </c>
      <c r="E39" s="18" t="s">
        <v>1681</v>
      </c>
      <c r="F39" s="18" t="str">
        <f>"0,5994"</f>
        <v>0,5994</v>
      </c>
      <c r="G39" s="18" t="s">
        <v>14</v>
      </c>
      <c r="H39" s="18" t="s">
        <v>1042</v>
      </c>
      <c r="I39" s="140" t="s">
        <v>845</v>
      </c>
      <c r="J39" s="140" t="s">
        <v>846</v>
      </c>
      <c r="K39" s="140" t="s">
        <v>847</v>
      </c>
      <c r="L39" s="39"/>
      <c r="M39" s="140" t="s">
        <v>64</v>
      </c>
      <c r="N39" s="140" t="s">
        <v>126</v>
      </c>
      <c r="O39" s="140" t="s">
        <v>127</v>
      </c>
      <c r="P39" s="39"/>
      <c r="Q39" s="140" t="s">
        <v>845</v>
      </c>
      <c r="R39" s="140" t="s">
        <v>913</v>
      </c>
      <c r="S39" s="47" t="s">
        <v>1043</v>
      </c>
      <c r="T39" s="39"/>
      <c r="U39" s="40">
        <v>745</v>
      </c>
      <c r="V39" s="38" t="str">
        <f>"446,5530"</f>
        <v>446,5530</v>
      </c>
      <c r="W39" s="18" t="s">
        <v>51</v>
      </c>
    </row>
    <row r="40" spans="1:23" ht="12.75">
      <c r="A40" s="29">
        <v>3</v>
      </c>
      <c r="B40" s="448">
        <v>20</v>
      </c>
      <c r="C40" s="18" t="s">
        <v>4212</v>
      </c>
      <c r="D40" s="18" t="s">
        <v>1044</v>
      </c>
      <c r="E40" s="18" t="s">
        <v>1868</v>
      </c>
      <c r="F40" s="18" t="str">
        <f>"0,5964"</f>
        <v>0,5964</v>
      </c>
      <c r="G40" s="18" t="s">
        <v>130</v>
      </c>
      <c r="H40" s="18" t="s">
        <v>1903</v>
      </c>
      <c r="I40" s="140" t="s">
        <v>317</v>
      </c>
      <c r="J40" s="140" t="s">
        <v>883</v>
      </c>
      <c r="K40" s="140" t="s">
        <v>884</v>
      </c>
      <c r="L40" s="39"/>
      <c r="M40" s="140" t="s">
        <v>153</v>
      </c>
      <c r="N40" s="140" t="s">
        <v>269</v>
      </c>
      <c r="O40" s="140" t="s">
        <v>127</v>
      </c>
      <c r="P40" s="39"/>
      <c r="Q40" s="140" t="s">
        <v>913</v>
      </c>
      <c r="R40" s="140" t="s">
        <v>1045</v>
      </c>
      <c r="S40" s="140" t="s">
        <v>834</v>
      </c>
      <c r="T40" s="39"/>
      <c r="U40" s="40">
        <v>740</v>
      </c>
      <c r="V40" s="38" t="str">
        <f>"441,3360"</f>
        <v>441,3360</v>
      </c>
      <c r="W40" s="18" t="s">
        <v>1702</v>
      </c>
    </row>
    <row r="41" spans="1:23" ht="12.75">
      <c r="A41" s="29">
        <v>4</v>
      </c>
      <c r="B41" s="448"/>
      <c r="C41" s="18" t="s">
        <v>4432</v>
      </c>
      <c r="D41" s="18" t="s">
        <v>1047</v>
      </c>
      <c r="E41" s="18" t="s">
        <v>1733</v>
      </c>
      <c r="F41" s="18" t="str">
        <f>"0,5892"</f>
        <v>0,5892</v>
      </c>
      <c r="G41" s="18" t="s">
        <v>31</v>
      </c>
      <c r="H41" s="18" t="s">
        <v>1737</v>
      </c>
      <c r="I41" s="140" t="s">
        <v>239</v>
      </c>
      <c r="J41" s="140" t="s">
        <v>317</v>
      </c>
      <c r="K41" s="140" t="s">
        <v>883</v>
      </c>
      <c r="L41" s="39"/>
      <c r="M41" s="140" t="s">
        <v>175</v>
      </c>
      <c r="N41" s="140" t="s">
        <v>176</v>
      </c>
      <c r="O41" s="140" t="s">
        <v>120</v>
      </c>
      <c r="P41" s="39"/>
      <c r="Q41" s="140" t="s">
        <v>901</v>
      </c>
      <c r="R41" s="140" t="s">
        <v>860</v>
      </c>
      <c r="S41" s="47" t="s">
        <v>902</v>
      </c>
      <c r="T41" s="39"/>
      <c r="U41" s="40">
        <v>740</v>
      </c>
      <c r="V41" s="38" t="str">
        <f>"436,0080"</f>
        <v>436,0080</v>
      </c>
      <c r="W41" s="18" t="s">
        <v>1742</v>
      </c>
    </row>
    <row r="42" spans="1:23" ht="12.75">
      <c r="A42" s="29">
        <v>5</v>
      </c>
      <c r="B42" s="448"/>
      <c r="C42" s="18" t="s">
        <v>4507</v>
      </c>
      <c r="D42" s="18" t="s">
        <v>1048</v>
      </c>
      <c r="E42" s="18" t="s">
        <v>1989</v>
      </c>
      <c r="F42" s="18" t="str">
        <f>"0,5909"</f>
        <v>0,5909</v>
      </c>
      <c r="G42" s="18" t="s">
        <v>31</v>
      </c>
      <c r="H42" s="18" t="s">
        <v>2237</v>
      </c>
      <c r="I42" s="140" t="s">
        <v>237</v>
      </c>
      <c r="J42" s="140" t="s">
        <v>239</v>
      </c>
      <c r="K42" s="140" t="s">
        <v>883</v>
      </c>
      <c r="L42" s="39"/>
      <c r="M42" s="140" t="s">
        <v>64</v>
      </c>
      <c r="N42" s="140" t="s">
        <v>153</v>
      </c>
      <c r="O42" s="140" t="s">
        <v>127</v>
      </c>
      <c r="P42" s="39"/>
      <c r="Q42" s="140" t="s">
        <v>845</v>
      </c>
      <c r="R42" s="140" t="s">
        <v>847</v>
      </c>
      <c r="S42" s="140" t="s">
        <v>834</v>
      </c>
      <c r="T42" s="39"/>
      <c r="U42" s="40">
        <v>730</v>
      </c>
      <c r="V42" s="38" t="str">
        <f>"431,3570"</f>
        <v>431,3570</v>
      </c>
      <c r="W42" s="18" t="s">
        <v>1946</v>
      </c>
    </row>
    <row r="43" spans="1:23" ht="12.75">
      <c r="A43" s="29">
        <v>6</v>
      </c>
      <c r="B43" s="448"/>
      <c r="C43" s="18" t="s">
        <v>4508</v>
      </c>
      <c r="D43" s="18" t="s">
        <v>1049</v>
      </c>
      <c r="E43" s="18" t="s">
        <v>1724</v>
      </c>
      <c r="F43" s="18" t="str">
        <f>"0,5905"</f>
        <v>0,5905</v>
      </c>
      <c r="G43" s="18" t="s">
        <v>31</v>
      </c>
      <c r="H43" s="18" t="s">
        <v>880</v>
      </c>
      <c r="I43" s="140" t="s">
        <v>239</v>
      </c>
      <c r="J43" s="140" t="s">
        <v>319</v>
      </c>
      <c r="K43" s="140" t="s">
        <v>884</v>
      </c>
      <c r="L43" s="39"/>
      <c r="M43" s="140" t="s">
        <v>126</v>
      </c>
      <c r="N43" s="140" t="s">
        <v>175</v>
      </c>
      <c r="O43" s="47" t="s">
        <v>108</v>
      </c>
      <c r="P43" s="39"/>
      <c r="Q43" s="140" t="s">
        <v>341</v>
      </c>
      <c r="R43" s="140" t="s">
        <v>913</v>
      </c>
      <c r="S43" s="47" t="s">
        <v>1043</v>
      </c>
      <c r="T43" s="39"/>
      <c r="U43" s="40">
        <v>720</v>
      </c>
      <c r="V43" s="38" t="str">
        <f>"425,1600"</f>
        <v>425,1600</v>
      </c>
      <c r="W43" s="18" t="s">
        <v>2010</v>
      </c>
    </row>
    <row r="44" spans="1:23" ht="12.75">
      <c r="A44" s="29">
        <v>7</v>
      </c>
      <c r="B44" s="448">
        <v>16</v>
      </c>
      <c r="C44" s="18" t="s">
        <v>4509</v>
      </c>
      <c r="D44" s="18" t="s">
        <v>1050</v>
      </c>
      <c r="E44" s="18" t="s">
        <v>2024</v>
      </c>
      <c r="F44" s="18" t="str">
        <f>"0,5950"</f>
        <v>0,5950</v>
      </c>
      <c r="G44" s="18" t="s">
        <v>54</v>
      </c>
      <c r="H44" s="18" t="s">
        <v>1641</v>
      </c>
      <c r="I44" s="140" t="s">
        <v>237</v>
      </c>
      <c r="J44" s="140" t="s">
        <v>239</v>
      </c>
      <c r="K44" s="140" t="s">
        <v>318</v>
      </c>
      <c r="L44" s="39"/>
      <c r="M44" s="140" t="s">
        <v>126</v>
      </c>
      <c r="N44" s="140" t="s">
        <v>175</v>
      </c>
      <c r="O44" s="140" t="s">
        <v>635</v>
      </c>
      <c r="P44" s="39"/>
      <c r="Q44" s="140" t="s">
        <v>319</v>
      </c>
      <c r="R44" s="140" t="s">
        <v>992</v>
      </c>
      <c r="S44" s="140" t="s">
        <v>913</v>
      </c>
      <c r="T44" s="39"/>
      <c r="U44" s="40">
        <v>715</v>
      </c>
      <c r="V44" s="38" t="str">
        <f>"425,4250"</f>
        <v>425,4250</v>
      </c>
      <c r="W44" s="18" t="s">
        <v>1839</v>
      </c>
    </row>
    <row r="45" spans="1:23" ht="12.75">
      <c r="A45" s="29">
        <v>8</v>
      </c>
      <c r="B45" s="448">
        <v>3</v>
      </c>
      <c r="C45" s="18" t="s">
        <v>4510</v>
      </c>
      <c r="D45" s="18" t="s">
        <v>1052</v>
      </c>
      <c r="E45" s="18" t="s">
        <v>2025</v>
      </c>
      <c r="F45" s="18" t="str">
        <f>"0,6083"</f>
        <v>0,6083</v>
      </c>
      <c r="G45" s="18" t="s">
        <v>22</v>
      </c>
      <c r="H45" s="18" t="s">
        <v>23</v>
      </c>
      <c r="I45" s="140" t="s">
        <v>480</v>
      </c>
      <c r="J45" s="140" t="s">
        <v>64</v>
      </c>
      <c r="K45" s="47" t="s">
        <v>127</v>
      </c>
      <c r="L45" s="39"/>
      <c r="M45" s="140" t="s">
        <v>88</v>
      </c>
      <c r="N45" s="140" t="s">
        <v>89</v>
      </c>
      <c r="O45" s="47" t="s">
        <v>480</v>
      </c>
      <c r="P45" s="39"/>
      <c r="Q45" s="140" t="s">
        <v>238</v>
      </c>
      <c r="R45" s="140" t="s">
        <v>319</v>
      </c>
      <c r="S45" s="47" t="s">
        <v>860</v>
      </c>
      <c r="T45" s="39"/>
      <c r="U45" s="40">
        <v>540</v>
      </c>
      <c r="V45" s="38" t="str">
        <f>"328,4820"</f>
        <v>328,4820</v>
      </c>
      <c r="W45" s="18" t="s">
        <v>51</v>
      </c>
    </row>
    <row r="46" spans="1:23" ht="12.75">
      <c r="A46" s="29">
        <v>1</v>
      </c>
      <c r="B46" s="448"/>
      <c r="C46" s="19" t="s">
        <v>4508</v>
      </c>
      <c r="D46" s="19" t="s">
        <v>1055</v>
      </c>
      <c r="E46" s="19" t="s">
        <v>1724</v>
      </c>
      <c r="F46" s="19" t="str">
        <f>"0,5905"</f>
        <v>0,5905</v>
      </c>
      <c r="G46" s="19" t="s">
        <v>31</v>
      </c>
      <c r="H46" s="19" t="s">
        <v>880</v>
      </c>
      <c r="I46" s="140" t="s">
        <v>239</v>
      </c>
      <c r="J46" s="140" t="s">
        <v>319</v>
      </c>
      <c r="K46" s="140" t="s">
        <v>884</v>
      </c>
      <c r="L46" s="39"/>
      <c r="M46" s="140" t="s">
        <v>126</v>
      </c>
      <c r="N46" s="140" t="s">
        <v>175</v>
      </c>
      <c r="O46" s="47" t="s">
        <v>108</v>
      </c>
      <c r="P46" s="39"/>
      <c r="Q46" s="140" t="s">
        <v>341</v>
      </c>
      <c r="R46" s="140" t="s">
        <v>913</v>
      </c>
      <c r="S46" s="47" t="s">
        <v>1043</v>
      </c>
      <c r="T46" s="42"/>
      <c r="U46" s="43">
        <v>720</v>
      </c>
      <c r="V46" s="41" t="str">
        <f>"443,8670"</f>
        <v>443,8670</v>
      </c>
      <c r="W46" s="19" t="s">
        <v>2010</v>
      </c>
    </row>
    <row r="47" ht="12.75">
      <c r="B47" s="468"/>
    </row>
    <row r="48" spans="2:22" ht="15.75">
      <c r="B48" s="434"/>
      <c r="C48" s="541" t="s">
        <v>304</v>
      </c>
      <c r="D48" s="541"/>
      <c r="E48" s="541"/>
      <c r="F48" s="541"/>
      <c r="G48" s="541"/>
      <c r="H48" s="541"/>
      <c r="I48" s="541"/>
      <c r="J48" s="541"/>
      <c r="K48" s="541"/>
      <c r="L48" s="541"/>
      <c r="M48" s="541"/>
      <c r="N48" s="541"/>
      <c r="O48" s="541"/>
      <c r="P48" s="541"/>
      <c r="Q48" s="541"/>
      <c r="R48" s="541"/>
      <c r="S48" s="541"/>
      <c r="T48" s="541"/>
      <c r="U48" s="541"/>
      <c r="V48" s="541"/>
    </row>
    <row r="49" spans="1:23" ht="12.75">
      <c r="A49" s="29">
        <v>1</v>
      </c>
      <c r="B49" s="448">
        <v>24</v>
      </c>
      <c r="C49" s="17" t="s">
        <v>4607</v>
      </c>
      <c r="D49" s="17" t="s">
        <v>1057</v>
      </c>
      <c r="E49" s="17" t="s">
        <v>2027</v>
      </c>
      <c r="F49" s="17" t="str">
        <f>"0,5805"</f>
        <v>0,5805</v>
      </c>
      <c r="G49" s="17" t="s">
        <v>2104</v>
      </c>
      <c r="H49" s="17" t="s">
        <v>1903</v>
      </c>
      <c r="I49" s="138" t="s">
        <v>847</v>
      </c>
      <c r="J49" s="138" t="s">
        <v>860</v>
      </c>
      <c r="K49" s="138" t="s">
        <v>834</v>
      </c>
      <c r="L49" s="36"/>
      <c r="M49" s="138" t="s">
        <v>108</v>
      </c>
      <c r="N49" s="46" t="s">
        <v>109</v>
      </c>
      <c r="O49" s="46" t="s">
        <v>109</v>
      </c>
      <c r="P49" s="36"/>
      <c r="Q49" s="138" t="s">
        <v>860</v>
      </c>
      <c r="R49" s="138" t="s">
        <v>869</v>
      </c>
      <c r="S49" s="46" t="s">
        <v>836</v>
      </c>
      <c r="T49" s="36"/>
      <c r="U49" s="44">
        <v>805</v>
      </c>
      <c r="V49" s="35" t="s">
        <v>2243</v>
      </c>
      <c r="W49" s="17" t="s">
        <v>51</v>
      </c>
    </row>
    <row r="50" spans="1:23" ht="12.75">
      <c r="A50" s="29">
        <v>2</v>
      </c>
      <c r="B50" s="448">
        <v>9</v>
      </c>
      <c r="C50" s="19" t="s">
        <v>4608</v>
      </c>
      <c r="D50" s="19" t="s">
        <v>1058</v>
      </c>
      <c r="E50" s="19" t="s">
        <v>2028</v>
      </c>
      <c r="F50" s="19" t="str">
        <f>"0,5843"</f>
        <v>0,5843</v>
      </c>
      <c r="G50" s="19" t="s">
        <v>2104</v>
      </c>
      <c r="H50" s="19" t="s">
        <v>1903</v>
      </c>
      <c r="I50" s="139" t="s">
        <v>246</v>
      </c>
      <c r="J50" s="48" t="s">
        <v>991</v>
      </c>
      <c r="K50" s="139" t="s">
        <v>883</v>
      </c>
      <c r="L50" s="42"/>
      <c r="M50" s="139" t="s">
        <v>64</v>
      </c>
      <c r="N50" s="48" t="s">
        <v>555</v>
      </c>
      <c r="O50" s="48" t="s">
        <v>555</v>
      </c>
      <c r="P50" s="42"/>
      <c r="Q50" s="139" t="s">
        <v>317</v>
      </c>
      <c r="R50" s="48" t="s">
        <v>341</v>
      </c>
      <c r="S50" s="48" t="s">
        <v>341</v>
      </c>
      <c r="T50" s="42"/>
      <c r="U50" s="43">
        <v>645</v>
      </c>
      <c r="V50" s="41" t="s">
        <v>2234</v>
      </c>
      <c r="W50" s="19" t="s">
        <v>51</v>
      </c>
    </row>
    <row r="51" ht="12.75">
      <c r="B51" s="468"/>
    </row>
    <row r="52" spans="3:4" ht="18">
      <c r="C52" s="16" t="s">
        <v>370</v>
      </c>
      <c r="D52" s="16"/>
    </row>
    <row r="53" spans="3:4" ht="15.75">
      <c r="C53" s="22" t="s">
        <v>371</v>
      </c>
      <c r="D53" s="22"/>
    </row>
    <row r="54" spans="3:4" ht="13.5">
      <c r="C54" s="24"/>
      <c r="D54" s="25" t="s">
        <v>2102</v>
      </c>
    </row>
    <row r="55" spans="3:7" ht="13.5">
      <c r="C55" s="26" t="s">
        <v>373</v>
      </c>
      <c r="D55" s="26" t="s">
        <v>374</v>
      </c>
      <c r="E55" s="26" t="s">
        <v>375</v>
      </c>
      <c r="F55" s="26" t="s">
        <v>376</v>
      </c>
      <c r="G55" s="26" t="s">
        <v>377</v>
      </c>
    </row>
    <row r="56" spans="1:7" ht="12.75">
      <c r="A56" s="29">
        <v>1</v>
      </c>
      <c r="C56" s="90" t="s">
        <v>1021</v>
      </c>
      <c r="D56" s="49" t="s">
        <v>372</v>
      </c>
      <c r="E56" s="49" t="s">
        <v>404</v>
      </c>
      <c r="F56" s="267">
        <v>462.5</v>
      </c>
      <c r="G56" s="82" t="s">
        <v>2241</v>
      </c>
    </row>
    <row r="57" spans="1:7" ht="12.75">
      <c r="A57" s="29">
        <v>2</v>
      </c>
      <c r="C57" s="90" t="s">
        <v>43</v>
      </c>
      <c r="D57" s="49" t="s">
        <v>372</v>
      </c>
      <c r="E57" s="49" t="s">
        <v>383</v>
      </c>
      <c r="F57" s="49" t="s">
        <v>1059</v>
      </c>
      <c r="G57" s="50" t="s">
        <v>1060</v>
      </c>
    </row>
    <row r="58" spans="1:7" ht="12.75">
      <c r="A58" s="29">
        <v>3</v>
      </c>
      <c r="C58" s="90" t="s">
        <v>1019</v>
      </c>
      <c r="D58" s="49" t="s">
        <v>372</v>
      </c>
      <c r="E58" s="49" t="s">
        <v>383</v>
      </c>
      <c r="F58" s="49" t="s">
        <v>1059</v>
      </c>
      <c r="G58" s="50" t="s">
        <v>1061</v>
      </c>
    </row>
    <row r="59" spans="3:7" ht="12.75">
      <c r="C59" s="23"/>
      <c r="G59" s="27"/>
    </row>
    <row r="60" spans="3:4" ht="15.75">
      <c r="C60" s="22" t="s">
        <v>387</v>
      </c>
      <c r="D60" s="22"/>
    </row>
    <row r="61" spans="3:4" ht="13.5">
      <c r="C61" s="24"/>
      <c r="D61" s="25" t="s">
        <v>2102</v>
      </c>
    </row>
    <row r="62" spans="3:7" ht="13.5">
      <c r="C62" s="26" t="s">
        <v>373</v>
      </c>
      <c r="D62" s="26" t="s">
        <v>374</v>
      </c>
      <c r="E62" s="26" t="s">
        <v>375</v>
      </c>
      <c r="F62" s="26" t="s">
        <v>376</v>
      </c>
      <c r="G62" s="26" t="s">
        <v>377</v>
      </c>
    </row>
    <row r="63" spans="1:23" s="413" customFormat="1" ht="13.5">
      <c r="A63" s="29">
        <v>1</v>
      </c>
      <c r="B63" s="451"/>
      <c r="C63" s="429" t="s">
        <v>1053</v>
      </c>
      <c r="D63" s="411" t="s">
        <v>372</v>
      </c>
      <c r="E63" s="426" t="s">
        <v>3337</v>
      </c>
      <c r="F63" s="426" t="s">
        <v>4087</v>
      </c>
      <c r="G63" s="38" t="s">
        <v>2236</v>
      </c>
      <c r="H63" s="412"/>
      <c r="I63" s="412"/>
      <c r="J63" s="412"/>
      <c r="K63" s="412"/>
      <c r="L63" s="412"/>
      <c r="M63" s="412"/>
      <c r="N63" s="412"/>
      <c r="O63" s="412"/>
      <c r="P63" s="412"/>
      <c r="Q63" s="412"/>
      <c r="R63" s="412"/>
      <c r="S63" s="412"/>
      <c r="T63" s="412"/>
      <c r="U63" s="427"/>
      <c r="V63" s="412"/>
      <c r="W63" s="412"/>
    </row>
    <row r="64" spans="1:7" ht="12.75">
      <c r="A64" s="29">
        <v>2</v>
      </c>
      <c r="C64" s="90" t="s">
        <v>1056</v>
      </c>
      <c r="D64" s="49" t="s">
        <v>372</v>
      </c>
      <c r="E64" s="49" t="s">
        <v>4097</v>
      </c>
      <c r="F64" s="49" t="s">
        <v>4107</v>
      </c>
      <c r="G64" s="35" t="s">
        <v>2243</v>
      </c>
    </row>
    <row r="65" spans="1:7" ht="12.75">
      <c r="A65" s="29">
        <v>3</v>
      </c>
      <c r="C65" s="90" t="s">
        <v>1037</v>
      </c>
      <c r="D65" s="49" t="s">
        <v>372</v>
      </c>
      <c r="E65" s="49" t="s">
        <v>397</v>
      </c>
      <c r="F65" s="49" t="s">
        <v>1062</v>
      </c>
      <c r="G65" s="50" t="s">
        <v>1063</v>
      </c>
    </row>
  </sheetData>
  <sheetProtection/>
  <mergeCells count="25">
    <mergeCell ref="C11:V11"/>
    <mergeCell ref="C48:V48"/>
    <mergeCell ref="C15:V15"/>
    <mergeCell ref="C18:V18"/>
    <mergeCell ref="C21:V21"/>
    <mergeCell ref="C26:V26"/>
    <mergeCell ref="C33:V33"/>
    <mergeCell ref="C36:V36"/>
    <mergeCell ref="V3:V4"/>
    <mergeCell ref="W3:W4"/>
    <mergeCell ref="C5:V5"/>
    <mergeCell ref="C8:V8"/>
    <mergeCell ref="A3:A4"/>
    <mergeCell ref="B3:B4"/>
    <mergeCell ref="Q3:T3"/>
    <mergeCell ref="C1:W2"/>
    <mergeCell ref="C3:C4"/>
    <mergeCell ref="D3:D4"/>
    <mergeCell ref="E3:E4"/>
    <mergeCell ref="F3:F4"/>
    <mergeCell ref="G3:G4"/>
    <mergeCell ref="H3:H4"/>
    <mergeCell ref="I3:L3"/>
    <mergeCell ref="M3:P3"/>
    <mergeCell ref="U3:U4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:M2"/>
    </sheetView>
  </sheetViews>
  <sheetFormatPr defaultColWidth="11.375" defaultRowHeight="12.75"/>
  <cols>
    <col min="1" max="12" width="11.375" style="0" customWidth="1"/>
    <col min="13" max="13" width="82.125" style="0" customWidth="1"/>
  </cols>
  <sheetData>
    <row r="1" spans="1:13" ht="115.5" customHeight="1">
      <c r="A1" s="561" t="s">
        <v>4609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3"/>
    </row>
    <row r="2" spans="1:13" ht="30" thickBot="1">
      <c r="A2" s="564" t="s">
        <v>4610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6"/>
    </row>
    <row r="4" spans="1:13" ht="15.75">
      <c r="A4" s="473" t="s">
        <v>4611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</row>
    <row r="5" spans="1:13" ht="15.75">
      <c r="A5" s="473" t="s">
        <v>4612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</row>
    <row r="6" spans="1:13" ht="15.75">
      <c r="A6" s="473" t="s">
        <v>4613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</row>
    <row r="7" spans="1:13" ht="15.75">
      <c r="A7" s="473" t="s">
        <v>4614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</row>
    <row r="8" spans="1:13" ht="15.75">
      <c r="A8" s="473" t="s">
        <v>4615</v>
      </c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</row>
    <row r="9" spans="1:13" ht="15.75">
      <c r="A9" s="473" t="s">
        <v>4616</v>
      </c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</row>
    <row r="10" spans="1:13" ht="15.75">
      <c r="A10" s="473" t="s">
        <v>4617</v>
      </c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</row>
    <row r="11" spans="1:13" ht="15.75">
      <c r="A11" s="473" t="s">
        <v>4618</v>
      </c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3"/>
    </row>
    <row r="12" spans="1:13" ht="15.75">
      <c r="A12" s="473" t="s">
        <v>4619</v>
      </c>
      <c r="B12" s="473"/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</row>
  </sheetData>
  <sheetProtection/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2">
      <selection activeCell="B9" sqref="B9"/>
    </sheetView>
  </sheetViews>
  <sheetFormatPr defaultColWidth="11.375" defaultRowHeight="12.75"/>
  <cols>
    <col min="1" max="1" width="14.375" style="0" customWidth="1"/>
  </cols>
  <sheetData>
    <row r="1" spans="1:13" ht="138" customHeight="1">
      <c r="A1" s="561" t="s">
        <v>4709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3"/>
    </row>
    <row r="2" spans="1:13" ht="67.5" customHeight="1" thickBot="1">
      <c r="A2" s="564" t="s">
        <v>4610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6"/>
    </row>
    <row r="4" spans="1:2" ht="12.75">
      <c r="A4" t="s">
        <v>3567</v>
      </c>
      <c r="B4">
        <v>4005</v>
      </c>
    </row>
    <row r="5" spans="1:2" ht="12.75">
      <c r="A5" t="s">
        <v>4703</v>
      </c>
      <c r="B5">
        <v>1503</v>
      </c>
    </row>
    <row r="6" spans="1:2" ht="12.75">
      <c r="A6" t="s">
        <v>3711</v>
      </c>
      <c r="B6">
        <v>1361</v>
      </c>
    </row>
    <row r="7" spans="1:2" ht="12.75">
      <c r="A7" t="s">
        <v>4704</v>
      </c>
      <c r="B7">
        <v>895</v>
      </c>
    </row>
    <row r="8" spans="1:2" ht="12.75">
      <c r="A8" t="s">
        <v>4705</v>
      </c>
      <c r="B8">
        <v>812</v>
      </c>
    </row>
    <row r="9" spans="1:2" ht="12.75">
      <c r="A9" t="s">
        <v>4707</v>
      </c>
      <c r="B9">
        <v>380</v>
      </c>
    </row>
    <row r="10" spans="1:2" ht="12.75">
      <c r="A10" t="s">
        <v>4706</v>
      </c>
      <c r="B10">
        <v>365</v>
      </c>
    </row>
    <row r="11" spans="1:2" ht="13.5">
      <c r="A11" t="s">
        <v>4715</v>
      </c>
      <c r="B11" s="481">
        <v>343</v>
      </c>
    </row>
    <row r="12" spans="1:2" ht="12.75">
      <c r="A12" t="s">
        <v>4708</v>
      </c>
      <c r="B12">
        <v>154</v>
      </c>
    </row>
    <row r="13" ht="13.5" thickBot="1">
      <c r="A13" s="89"/>
    </row>
    <row r="14" spans="1:13" ht="111" customHeight="1">
      <c r="A14" s="561" t="s">
        <v>4710</v>
      </c>
      <c r="B14" s="562"/>
      <c r="C14" s="562"/>
      <c r="D14" s="562"/>
      <c r="E14" s="562"/>
      <c r="F14" s="562"/>
      <c r="G14" s="562"/>
      <c r="H14" s="562"/>
      <c r="I14" s="562"/>
      <c r="J14" s="562"/>
      <c r="K14" s="562"/>
      <c r="L14" s="562"/>
      <c r="M14" s="563"/>
    </row>
    <row r="15" spans="1:13" ht="48" customHeight="1" thickBot="1">
      <c r="A15" s="564" t="s">
        <v>4610</v>
      </c>
      <c r="B15" s="565"/>
      <c r="C15" s="565"/>
      <c r="D15" s="565"/>
      <c r="E15" s="565"/>
      <c r="F15" s="565"/>
      <c r="G15" s="565"/>
      <c r="H15" s="565"/>
      <c r="I15" s="565"/>
      <c r="J15" s="565"/>
      <c r="K15" s="565"/>
      <c r="L15" s="565"/>
      <c r="M15" s="566"/>
    </row>
    <row r="17" spans="1:2" ht="12.75">
      <c r="A17" s="223" t="s">
        <v>2400</v>
      </c>
      <c r="B17">
        <v>542</v>
      </c>
    </row>
    <row r="18" spans="1:2" ht="12.75">
      <c r="A18" s="223" t="s">
        <v>2293</v>
      </c>
      <c r="B18">
        <v>335</v>
      </c>
    </row>
  </sheetData>
  <sheetProtection/>
  <mergeCells count="4">
    <mergeCell ref="A1:M1"/>
    <mergeCell ref="A2:M2"/>
    <mergeCell ref="A14:M14"/>
    <mergeCell ref="A15:M1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A3" sqref="A3:R4"/>
    </sheetView>
  </sheetViews>
  <sheetFormatPr defaultColWidth="11.375" defaultRowHeight="12.75"/>
  <cols>
    <col min="1" max="1" width="8.375" style="0" customWidth="1"/>
    <col min="2" max="2" width="13.25390625" style="0" customWidth="1"/>
    <col min="3" max="3" width="17.875" style="0" customWidth="1"/>
    <col min="4" max="4" width="24.00390625" style="0" customWidth="1"/>
    <col min="5" max="5" width="15.75390625" style="0" customWidth="1"/>
    <col min="6" max="6" width="11.375" style="0" customWidth="1"/>
    <col min="7" max="7" width="25.00390625" style="0" customWidth="1"/>
    <col min="8" max="9" width="7.75390625" style="0" customWidth="1"/>
    <col min="10" max="10" width="7.625" style="0" customWidth="1"/>
    <col min="11" max="11" width="11.375" style="0" customWidth="1"/>
    <col min="12" max="12" width="8.00390625" style="0" customWidth="1"/>
    <col min="13" max="14" width="11.375" style="0" customWidth="1"/>
    <col min="15" max="15" width="8.25390625" style="0" customWidth="1"/>
    <col min="16" max="16" width="9.375" style="0" customWidth="1"/>
    <col min="17" max="17" width="8.875" style="0" customWidth="1"/>
    <col min="18" max="18" width="16.125" style="0" customWidth="1"/>
  </cols>
  <sheetData>
    <row r="1" spans="1:18" ht="57.75" customHeight="1">
      <c r="A1" s="82"/>
      <c r="B1" s="82"/>
      <c r="C1" s="509" t="s">
        <v>3757</v>
      </c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</row>
    <row r="2" spans="1:18" ht="30" thickBot="1">
      <c r="A2" s="82"/>
      <c r="B2" s="82"/>
      <c r="C2" s="509" t="s">
        <v>3283</v>
      </c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</row>
    <row r="3" spans="1:18" ht="13.5" customHeight="1">
      <c r="A3" s="527" t="s">
        <v>1627</v>
      </c>
      <c r="B3" s="530" t="s">
        <v>4516</v>
      </c>
      <c r="C3" s="527" t="s">
        <v>0</v>
      </c>
      <c r="D3" s="273" t="s">
        <v>3284</v>
      </c>
      <c r="E3" s="502" t="s">
        <v>3286</v>
      </c>
      <c r="F3" s="502" t="s">
        <v>7</v>
      </c>
      <c r="G3" s="502" t="s">
        <v>3287</v>
      </c>
      <c r="H3" s="529" t="s">
        <v>3388</v>
      </c>
      <c r="I3" s="522"/>
      <c r="J3" s="523"/>
      <c r="K3" s="502" t="s">
        <v>1672</v>
      </c>
      <c r="L3" s="502" t="s">
        <v>3389</v>
      </c>
      <c r="M3" s="529" t="s">
        <v>3288</v>
      </c>
      <c r="N3" s="523"/>
      <c r="O3" s="502" t="s">
        <v>3389</v>
      </c>
      <c r="P3" s="504" t="s">
        <v>3390</v>
      </c>
      <c r="Q3" s="502" t="s">
        <v>6</v>
      </c>
      <c r="R3" s="506" t="s">
        <v>5</v>
      </c>
    </row>
    <row r="4" spans="1:18" ht="15" thickBot="1">
      <c r="A4" s="528"/>
      <c r="B4" s="531"/>
      <c r="C4" s="528"/>
      <c r="D4" s="274" t="s">
        <v>3285</v>
      </c>
      <c r="E4" s="503"/>
      <c r="F4" s="503"/>
      <c r="G4" s="503"/>
      <c r="H4" s="319" t="s">
        <v>2208</v>
      </c>
      <c r="I4" s="319" t="s">
        <v>2209</v>
      </c>
      <c r="J4" s="319" t="s">
        <v>2210</v>
      </c>
      <c r="K4" s="503"/>
      <c r="L4" s="503"/>
      <c r="M4" s="319" t="s">
        <v>2604</v>
      </c>
      <c r="N4" s="319" t="s">
        <v>3289</v>
      </c>
      <c r="O4" s="503"/>
      <c r="P4" s="505"/>
      <c r="Q4" s="503"/>
      <c r="R4" s="507"/>
    </row>
    <row r="5" spans="1:18" ht="13.5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302"/>
      <c r="Q5" s="184"/>
      <c r="R5" s="184"/>
    </row>
    <row r="6" spans="1:18" ht="15.75">
      <c r="A6" s="29"/>
      <c r="B6" s="29"/>
      <c r="C6" s="508" t="s">
        <v>3758</v>
      </c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15"/>
    </row>
    <row r="7" spans="1:18" ht="12.75">
      <c r="A7" s="33" t="s">
        <v>2208</v>
      </c>
      <c r="B7" s="33" t="s">
        <v>3526</v>
      </c>
      <c r="C7" s="210" t="s">
        <v>3759</v>
      </c>
      <c r="D7" s="210" t="s">
        <v>3760</v>
      </c>
      <c r="E7" s="210" t="s">
        <v>416</v>
      </c>
      <c r="F7" s="210" t="s">
        <v>125</v>
      </c>
      <c r="G7" s="210" t="s">
        <v>1643</v>
      </c>
      <c r="H7" s="377">
        <v>102.5</v>
      </c>
      <c r="I7" s="375">
        <v>105</v>
      </c>
      <c r="J7" s="344"/>
      <c r="K7" s="200" t="s">
        <v>2926</v>
      </c>
      <c r="L7" s="200" t="s">
        <v>3391</v>
      </c>
      <c r="M7" s="346">
        <v>70</v>
      </c>
      <c r="N7" s="346">
        <v>14</v>
      </c>
      <c r="O7" s="200" t="s">
        <v>3391</v>
      </c>
      <c r="P7" s="403" t="s">
        <v>3392</v>
      </c>
      <c r="Q7" s="271" t="s">
        <v>3761</v>
      </c>
      <c r="R7" s="210" t="s">
        <v>1906</v>
      </c>
    </row>
    <row r="8" spans="1:18" ht="12.75">
      <c r="A8" s="50"/>
      <c r="B8" s="50"/>
      <c r="C8" s="15"/>
      <c r="D8" s="15"/>
      <c r="E8" s="15"/>
      <c r="F8" s="15"/>
      <c r="G8" s="15"/>
      <c r="H8" s="49"/>
      <c r="I8" s="49"/>
      <c r="J8" s="49"/>
      <c r="K8" s="50"/>
      <c r="L8" s="50"/>
      <c r="M8" s="49"/>
      <c r="N8" s="49"/>
      <c r="O8" s="50"/>
      <c r="P8" s="402"/>
      <c r="Q8" s="49"/>
      <c r="R8" s="15"/>
    </row>
    <row r="9" spans="1:18" ht="12.75">
      <c r="A9" s="50"/>
      <c r="B9" s="50"/>
      <c r="C9" s="15"/>
      <c r="D9" s="15"/>
      <c r="E9" s="15"/>
      <c r="F9" s="15"/>
      <c r="G9" s="15"/>
      <c r="H9" s="49"/>
      <c r="I9" s="49"/>
      <c r="J9" s="49"/>
      <c r="K9" s="50"/>
      <c r="L9" s="50"/>
      <c r="M9" s="49"/>
      <c r="N9" s="49"/>
      <c r="O9" s="50"/>
      <c r="P9" s="402"/>
      <c r="Q9" s="49"/>
      <c r="R9" s="15"/>
    </row>
    <row r="10" spans="1:18" ht="12.75">
      <c r="A10" s="50"/>
      <c r="B10" s="50"/>
      <c r="C10" s="15"/>
      <c r="D10" s="15"/>
      <c r="E10" s="15"/>
      <c r="F10" s="15"/>
      <c r="G10" s="15"/>
      <c r="H10" s="49"/>
      <c r="I10" s="49"/>
      <c r="J10" s="49"/>
      <c r="K10" s="50"/>
      <c r="L10" s="50"/>
      <c r="M10" s="49"/>
      <c r="N10" s="49"/>
      <c r="O10" s="50"/>
      <c r="P10" s="402"/>
      <c r="Q10" s="49"/>
      <c r="R10" s="15"/>
    </row>
    <row r="11" spans="1:18" ht="12.75">
      <c r="A11" s="50"/>
      <c r="B11" s="50"/>
      <c r="C11" s="15"/>
      <c r="D11" s="15"/>
      <c r="E11" s="15"/>
      <c r="F11" s="15"/>
      <c r="G11" s="15"/>
      <c r="H11" s="49"/>
      <c r="I11" s="49"/>
      <c r="J11" s="49"/>
      <c r="K11" s="50"/>
      <c r="L11" s="50"/>
      <c r="M11" s="49"/>
      <c r="N11" s="49"/>
      <c r="O11" s="50"/>
      <c r="P11" s="402"/>
      <c r="Q11" s="49"/>
      <c r="R11" s="15"/>
    </row>
    <row r="12" spans="1:18" ht="12.75">
      <c r="A12" s="50"/>
      <c r="B12" s="50"/>
      <c r="C12" s="15"/>
      <c r="D12" s="15"/>
      <c r="E12" s="15"/>
      <c r="F12" s="15"/>
      <c r="G12" s="15"/>
      <c r="H12" s="49"/>
      <c r="I12" s="49"/>
      <c r="J12" s="49"/>
      <c r="K12" s="50"/>
      <c r="L12" s="50"/>
      <c r="M12" s="49"/>
      <c r="N12" s="49"/>
      <c r="O12" s="50"/>
      <c r="P12" s="402"/>
      <c r="Q12" s="49"/>
      <c r="R12" s="15"/>
    </row>
    <row r="13" spans="1:18" ht="12.75">
      <c r="A13" s="50"/>
      <c r="B13" s="50"/>
      <c r="C13" s="15"/>
      <c r="D13" s="15"/>
      <c r="E13" s="15"/>
      <c r="F13" s="15"/>
      <c r="G13" s="15"/>
      <c r="H13" s="49"/>
      <c r="I13" s="49"/>
      <c r="J13" s="49"/>
      <c r="K13" s="50"/>
      <c r="L13" s="50"/>
      <c r="M13" s="49"/>
      <c r="N13" s="49"/>
      <c r="O13" s="50"/>
      <c r="P13" s="402"/>
      <c r="Q13" s="49"/>
      <c r="R13" s="15"/>
    </row>
    <row r="14" spans="1:18" ht="12.75">
      <c r="A14" s="50"/>
      <c r="B14" s="50"/>
      <c r="C14" s="15"/>
      <c r="D14" s="15"/>
      <c r="E14" s="15"/>
      <c r="F14" s="15"/>
      <c r="G14" s="15"/>
      <c r="H14" s="49"/>
      <c r="I14" s="49"/>
      <c r="J14" s="49"/>
      <c r="K14" s="50"/>
      <c r="L14" s="50"/>
      <c r="M14" s="49"/>
      <c r="N14" s="49"/>
      <c r="O14" s="50"/>
      <c r="P14" s="402"/>
      <c r="Q14" s="49"/>
      <c r="R14" s="15"/>
    </row>
    <row r="15" spans="1:18" ht="12.75">
      <c r="A15" s="50"/>
      <c r="B15" s="50"/>
      <c r="C15" s="15"/>
      <c r="D15" s="15"/>
      <c r="E15" s="15"/>
      <c r="F15" s="15"/>
      <c r="G15" s="15"/>
      <c r="H15" s="49"/>
      <c r="I15" s="49"/>
      <c r="J15" s="49"/>
      <c r="K15" s="50"/>
      <c r="L15" s="50"/>
      <c r="M15" s="49"/>
      <c r="N15" s="49"/>
      <c r="O15" s="50"/>
      <c r="P15" s="402"/>
      <c r="Q15" s="49"/>
      <c r="R15" s="15"/>
    </row>
    <row r="16" spans="1:18" ht="12.75">
      <c r="A16" s="50"/>
      <c r="B16" s="50"/>
      <c r="C16" s="15"/>
      <c r="D16" s="15"/>
      <c r="E16" s="15"/>
      <c r="F16" s="15"/>
      <c r="G16" s="15"/>
      <c r="H16" s="49"/>
      <c r="I16" s="49"/>
      <c r="J16" s="49"/>
      <c r="K16" s="50"/>
      <c r="L16" s="50"/>
      <c r="M16" s="49"/>
      <c r="N16" s="49"/>
      <c r="O16" s="50"/>
      <c r="P16" s="402"/>
      <c r="Q16" s="49"/>
      <c r="R16" s="15"/>
    </row>
    <row r="17" spans="1:18" ht="12.75">
      <c r="A17" s="50"/>
      <c r="B17" s="50"/>
      <c r="C17" s="15"/>
      <c r="D17" s="15"/>
      <c r="E17" s="15"/>
      <c r="F17" s="15"/>
      <c r="G17" s="15"/>
      <c r="H17" s="49"/>
      <c r="I17" s="49"/>
      <c r="J17" s="49"/>
      <c r="K17" s="50"/>
      <c r="L17" s="50"/>
      <c r="M17" s="49"/>
      <c r="N17" s="49"/>
      <c r="O17" s="50"/>
      <c r="P17" s="402"/>
      <c r="Q17" s="49"/>
      <c r="R17" s="15"/>
    </row>
    <row r="18" spans="1:18" ht="12.75">
      <c r="A18" s="50"/>
      <c r="B18" s="50"/>
      <c r="C18" s="15"/>
      <c r="D18" s="15"/>
      <c r="E18" s="15"/>
      <c r="F18" s="15"/>
      <c r="G18" s="15"/>
      <c r="H18" s="49"/>
      <c r="I18" s="49"/>
      <c r="J18" s="49"/>
      <c r="K18" s="50"/>
      <c r="L18" s="50"/>
      <c r="M18" s="49"/>
      <c r="N18" s="49"/>
      <c r="O18" s="50"/>
      <c r="P18" s="402"/>
      <c r="Q18" s="49"/>
      <c r="R18" s="15"/>
    </row>
    <row r="19" spans="1:18" ht="12.75">
      <c r="A19" s="50"/>
      <c r="B19" s="50"/>
      <c r="C19" s="15"/>
      <c r="D19" s="15"/>
      <c r="E19" s="15"/>
      <c r="F19" s="15"/>
      <c r="G19" s="15"/>
      <c r="H19" s="49"/>
      <c r="I19" s="49"/>
      <c r="J19" s="49"/>
      <c r="K19" s="50"/>
      <c r="L19" s="50"/>
      <c r="M19" s="49"/>
      <c r="N19" s="49"/>
      <c r="O19" s="50"/>
      <c r="P19" s="402"/>
      <c r="Q19" s="49"/>
      <c r="R19" s="15"/>
    </row>
    <row r="20" spans="1:18" ht="12.75">
      <c r="A20" s="50"/>
      <c r="B20" s="50"/>
      <c r="C20" s="15"/>
      <c r="D20" s="15"/>
      <c r="E20" s="15"/>
      <c r="F20" s="15"/>
      <c r="G20" s="15"/>
      <c r="H20" s="49"/>
      <c r="I20" s="49"/>
      <c r="J20" s="49"/>
      <c r="K20" s="50"/>
      <c r="L20" s="50"/>
      <c r="M20" s="49"/>
      <c r="N20" s="49"/>
      <c r="O20" s="50"/>
      <c r="P20" s="402"/>
      <c r="Q20" s="49"/>
      <c r="R20" s="15"/>
    </row>
    <row r="21" spans="1:18" ht="12.75">
      <c r="A21" s="50"/>
      <c r="B21" s="50"/>
      <c r="C21" s="15"/>
      <c r="D21" s="15"/>
      <c r="E21" s="15"/>
      <c r="F21" s="15"/>
      <c r="G21" s="15"/>
      <c r="H21" s="49"/>
      <c r="I21" s="49"/>
      <c r="J21" s="49"/>
      <c r="K21" s="50"/>
      <c r="L21" s="50"/>
      <c r="M21" s="49"/>
      <c r="N21" s="49"/>
      <c r="O21" s="50"/>
      <c r="P21" s="402"/>
      <c r="Q21" s="49"/>
      <c r="R21" s="15"/>
    </row>
    <row r="22" spans="1:18" ht="12.75">
      <c r="A22" s="50"/>
      <c r="B22" s="50"/>
      <c r="C22" s="15"/>
      <c r="D22" s="15"/>
      <c r="E22" s="15"/>
      <c r="F22" s="15"/>
      <c r="G22" s="15"/>
      <c r="H22" s="49"/>
      <c r="I22" s="49"/>
      <c r="J22" s="49"/>
      <c r="K22" s="50"/>
      <c r="L22" s="50"/>
      <c r="M22" s="49"/>
      <c r="N22" s="49"/>
      <c r="O22" s="50"/>
      <c r="P22" s="402"/>
      <c r="Q22" s="49"/>
      <c r="R22" s="15"/>
    </row>
    <row r="23" spans="1:18" ht="12.75">
      <c r="A23" s="50"/>
      <c r="B23" s="50"/>
      <c r="C23" s="15"/>
      <c r="D23" s="15"/>
      <c r="E23" s="15"/>
      <c r="F23" s="15"/>
      <c r="G23" s="15"/>
      <c r="H23" s="49"/>
      <c r="I23" s="49"/>
      <c r="J23" s="49"/>
      <c r="K23" s="50"/>
      <c r="L23" s="50"/>
      <c r="M23" s="49"/>
      <c r="N23" s="49"/>
      <c r="O23" s="50"/>
      <c r="P23" s="402"/>
      <c r="Q23" s="49"/>
      <c r="R23" s="15"/>
    </row>
    <row r="24" spans="1:18" ht="12.75">
      <c r="A24" s="50"/>
      <c r="B24" s="50"/>
      <c r="C24" s="15"/>
      <c r="D24" s="15"/>
      <c r="E24" s="15"/>
      <c r="F24" s="15"/>
      <c r="G24" s="15"/>
      <c r="H24" s="49"/>
      <c r="I24" s="49"/>
      <c r="J24" s="49"/>
      <c r="K24" s="50"/>
      <c r="L24" s="50"/>
      <c r="M24" s="49"/>
      <c r="N24" s="49"/>
      <c r="O24" s="50"/>
      <c r="P24" s="402"/>
      <c r="Q24" s="49"/>
      <c r="R24" s="15"/>
    </row>
    <row r="25" spans="1:18" ht="12.75">
      <c r="A25" s="50"/>
      <c r="B25" s="50"/>
      <c r="C25" s="15"/>
      <c r="D25" s="15"/>
      <c r="E25" s="15"/>
      <c r="F25" s="15"/>
      <c r="G25" s="15"/>
      <c r="H25" s="49"/>
      <c r="I25" s="49"/>
      <c r="J25" s="49"/>
      <c r="K25" s="50"/>
      <c r="L25" s="50"/>
      <c r="M25" s="49"/>
      <c r="N25" s="49"/>
      <c r="O25" s="50"/>
      <c r="P25" s="402"/>
      <c r="Q25" s="49"/>
      <c r="R25" s="15"/>
    </row>
    <row r="26" spans="1:18" ht="12.75">
      <c r="A26" s="50"/>
      <c r="B26" s="50"/>
      <c r="C26" s="15"/>
      <c r="D26" s="15"/>
      <c r="E26" s="15"/>
      <c r="F26" s="15"/>
      <c r="G26" s="15"/>
      <c r="H26" s="49"/>
      <c r="I26" s="49"/>
      <c r="J26" s="49"/>
      <c r="K26" s="50"/>
      <c r="L26" s="50"/>
      <c r="M26" s="49"/>
      <c r="N26" s="49"/>
      <c r="O26" s="50"/>
      <c r="P26" s="402"/>
      <c r="Q26" s="49"/>
      <c r="R26" s="15"/>
    </row>
    <row r="27" spans="1:18" ht="12.75">
      <c r="A27" s="50"/>
      <c r="B27" s="50"/>
      <c r="C27" s="15"/>
      <c r="D27" s="15"/>
      <c r="E27" s="15"/>
      <c r="F27" s="15"/>
      <c r="G27" s="15"/>
      <c r="H27" s="49"/>
      <c r="I27" s="49"/>
      <c r="J27" s="49"/>
      <c r="K27" s="50"/>
      <c r="L27" s="50"/>
      <c r="M27" s="49"/>
      <c r="N27" s="49"/>
      <c r="O27" s="50"/>
      <c r="P27" s="402"/>
      <c r="Q27" s="49"/>
      <c r="R27" s="15"/>
    </row>
    <row r="28" spans="1:18" ht="12.75">
      <c r="A28" s="50"/>
      <c r="B28" s="50"/>
      <c r="C28" s="15"/>
      <c r="D28" s="15"/>
      <c r="E28" s="15"/>
      <c r="F28" s="15"/>
      <c r="G28" s="15"/>
      <c r="H28" s="49"/>
      <c r="I28" s="49"/>
      <c r="J28" s="49"/>
      <c r="K28" s="50"/>
      <c r="L28" s="50"/>
      <c r="M28" s="49"/>
      <c r="N28" s="49"/>
      <c r="O28" s="50"/>
      <c r="P28" s="402"/>
      <c r="Q28" s="49"/>
      <c r="R28" s="15"/>
    </row>
    <row r="29" spans="1:18" ht="12.75">
      <c r="A29" s="50"/>
      <c r="B29" s="50"/>
      <c r="C29" s="15"/>
      <c r="D29" s="15"/>
      <c r="E29" s="15"/>
      <c r="F29" s="15"/>
      <c r="G29" s="15"/>
      <c r="H29" s="49"/>
      <c r="I29" s="49"/>
      <c r="J29" s="49"/>
      <c r="K29" s="50"/>
      <c r="L29" s="50"/>
      <c r="M29" s="49"/>
      <c r="N29" s="49"/>
      <c r="O29" s="50"/>
      <c r="P29" s="402"/>
      <c r="Q29" s="49"/>
      <c r="R29" s="15"/>
    </row>
    <row r="30" spans="1:18" ht="12.75">
      <c r="A30" s="50"/>
      <c r="B30" s="50"/>
      <c r="C30" s="15"/>
      <c r="D30" s="15"/>
      <c r="E30" s="15"/>
      <c r="F30" s="15"/>
      <c r="G30" s="15"/>
      <c r="H30" s="49"/>
      <c r="I30" s="49"/>
      <c r="J30" s="49"/>
      <c r="K30" s="50"/>
      <c r="L30" s="50"/>
      <c r="M30" s="49"/>
      <c r="N30" s="49"/>
      <c r="O30" s="50"/>
      <c r="P30" s="402"/>
      <c r="Q30" s="49"/>
      <c r="R30" s="15"/>
    </row>
    <row r="31" spans="1:18" ht="12.75">
      <c r="A31" s="50"/>
      <c r="B31" s="50"/>
      <c r="C31" s="15"/>
      <c r="D31" s="15"/>
      <c r="E31" s="15"/>
      <c r="F31" s="15"/>
      <c r="G31" s="15"/>
      <c r="H31" s="49"/>
      <c r="I31" s="49"/>
      <c r="J31" s="49"/>
      <c r="K31" s="50"/>
      <c r="L31" s="50"/>
      <c r="M31" s="49"/>
      <c r="N31" s="49"/>
      <c r="O31" s="50"/>
      <c r="P31" s="402"/>
      <c r="Q31" s="49"/>
      <c r="R31" s="15"/>
    </row>
  </sheetData>
  <sheetProtection/>
  <mergeCells count="17">
    <mergeCell ref="B3:B4"/>
    <mergeCell ref="M3:N3"/>
    <mergeCell ref="O3:O4"/>
    <mergeCell ref="P3:P4"/>
    <mergeCell ref="Q3:Q4"/>
    <mergeCell ref="R3:R4"/>
    <mergeCell ref="L3:L4"/>
    <mergeCell ref="C6:Q6"/>
    <mergeCell ref="C1:R1"/>
    <mergeCell ref="C2:R2"/>
    <mergeCell ref="A3:A4"/>
    <mergeCell ref="C3:C4"/>
    <mergeCell ref="E3:E4"/>
    <mergeCell ref="F3:F4"/>
    <mergeCell ref="G3:G4"/>
    <mergeCell ref="H3:J3"/>
    <mergeCell ref="K3:K4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3">
      <selection activeCell="C21" sqref="C21:K21"/>
    </sheetView>
  </sheetViews>
  <sheetFormatPr defaultColWidth="11.375" defaultRowHeight="12.75"/>
  <cols>
    <col min="1" max="1" width="7.125" style="0" customWidth="1"/>
    <col min="2" max="2" width="11.75390625" style="409" customWidth="1"/>
    <col min="3" max="3" width="25.25390625" style="0" customWidth="1"/>
    <col min="4" max="4" width="24.375" style="0" customWidth="1"/>
    <col min="5" max="5" width="19.125" style="0" customWidth="1"/>
    <col min="6" max="6" width="12.00390625" style="0" customWidth="1"/>
    <col min="7" max="7" width="25.875" style="0" customWidth="1"/>
    <col min="8" max="11" width="11.375" style="0" customWidth="1"/>
    <col min="12" max="12" width="14.875" style="0" customWidth="1"/>
  </cols>
  <sheetData>
    <row r="1" spans="1:12" ht="57.75" customHeight="1">
      <c r="A1" s="104"/>
      <c r="B1" s="433"/>
      <c r="C1" s="509" t="s">
        <v>3643</v>
      </c>
      <c r="D1" s="509"/>
      <c r="E1" s="509"/>
      <c r="F1" s="509"/>
      <c r="G1" s="509"/>
      <c r="H1" s="509"/>
      <c r="I1" s="509"/>
      <c r="J1" s="509"/>
      <c r="K1" s="509"/>
      <c r="L1" s="509"/>
    </row>
    <row r="2" spans="1:12" ht="30" thickBot="1">
      <c r="A2" s="104"/>
      <c r="B2" s="433"/>
      <c r="C2" s="509" t="s">
        <v>3283</v>
      </c>
      <c r="D2" s="509"/>
      <c r="E2" s="509"/>
      <c r="F2" s="509"/>
      <c r="G2" s="509"/>
      <c r="H2" s="509"/>
      <c r="I2" s="509"/>
      <c r="J2" s="509"/>
      <c r="K2" s="509"/>
      <c r="L2" s="509"/>
    </row>
    <row r="3" spans="1:12" ht="13.5" customHeight="1">
      <c r="A3" s="512" t="s">
        <v>1627</v>
      </c>
      <c r="B3" s="516" t="s">
        <v>4516</v>
      </c>
      <c r="C3" s="514" t="s">
        <v>0</v>
      </c>
      <c r="D3" s="454" t="s">
        <v>3284</v>
      </c>
      <c r="E3" s="514" t="s">
        <v>3286</v>
      </c>
      <c r="F3" s="514" t="s">
        <v>7</v>
      </c>
      <c r="G3" s="514" t="s">
        <v>3287</v>
      </c>
      <c r="H3" s="514" t="s">
        <v>3288</v>
      </c>
      <c r="I3" s="514"/>
      <c r="J3" s="514" t="s">
        <v>2603</v>
      </c>
      <c r="K3" s="514" t="s">
        <v>6</v>
      </c>
      <c r="L3" s="510" t="s">
        <v>5</v>
      </c>
    </row>
    <row r="4" spans="1:12" ht="15" thickBot="1">
      <c r="A4" s="513"/>
      <c r="B4" s="517"/>
      <c r="C4" s="515"/>
      <c r="D4" s="455" t="s">
        <v>3285</v>
      </c>
      <c r="E4" s="515"/>
      <c r="F4" s="515"/>
      <c r="G4" s="515"/>
      <c r="H4" s="457" t="s">
        <v>2604</v>
      </c>
      <c r="I4" s="457" t="s">
        <v>3289</v>
      </c>
      <c r="J4" s="515"/>
      <c r="K4" s="515"/>
      <c r="L4" s="511"/>
    </row>
    <row r="5" spans="1:12" ht="13.5">
      <c r="A5" s="184"/>
      <c r="B5" s="302"/>
      <c r="C5" s="184"/>
      <c r="D5" s="184"/>
      <c r="E5" s="184"/>
      <c r="F5" s="184"/>
      <c r="G5" s="184"/>
      <c r="H5" s="270"/>
      <c r="I5" s="270"/>
      <c r="J5" s="184"/>
      <c r="K5" s="184"/>
      <c r="L5" s="184"/>
    </row>
    <row r="6" spans="1:12" ht="15.75">
      <c r="A6" s="282"/>
      <c r="B6" s="432"/>
      <c r="C6" s="508" t="s">
        <v>3644</v>
      </c>
      <c r="D6" s="508"/>
      <c r="E6" s="508"/>
      <c r="F6" s="508"/>
      <c r="G6" s="508"/>
      <c r="H6" s="508"/>
      <c r="I6" s="508"/>
      <c r="J6" s="508"/>
      <c r="K6" s="508"/>
      <c r="L6" s="15"/>
    </row>
    <row r="7" spans="1:12" ht="12.75">
      <c r="A7" s="82" t="s">
        <v>2208</v>
      </c>
      <c r="B7" s="399" t="s">
        <v>3526</v>
      </c>
      <c r="C7" s="20" t="s">
        <v>3763</v>
      </c>
      <c r="D7" s="210" t="s">
        <v>1490</v>
      </c>
      <c r="E7" s="210" t="s">
        <v>3646</v>
      </c>
      <c r="F7" s="210" t="s">
        <v>3647</v>
      </c>
      <c r="G7" s="210" t="s">
        <v>143</v>
      </c>
      <c r="H7" s="271" t="s">
        <v>3361</v>
      </c>
      <c r="I7" s="271" t="s">
        <v>3353</v>
      </c>
      <c r="J7" s="200" t="s">
        <v>3648</v>
      </c>
      <c r="K7" s="271" t="s">
        <v>3649</v>
      </c>
      <c r="L7" s="210" t="s">
        <v>2067</v>
      </c>
    </row>
    <row r="8" spans="1:12" ht="12.75">
      <c r="A8" s="82"/>
      <c r="B8" s="399"/>
      <c r="C8" s="15"/>
      <c r="D8" s="15"/>
      <c r="E8" s="15"/>
      <c r="F8" s="15"/>
      <c r="G8" s="15"/>
      <c r="H8" s="49"/>
      <c r="I8" s="49"/>
      <c r="J8" s="50"/>
      <c r="K8" s="50"/>
      <c r="L8" s="15"/>
    </row>
    <row r="9" spans="1:12" ht="15.75">
      <c r="A9" s="282"/>
      <c r="B9" s="432"/>
      <c r="C9" s="526" t="s">
        <v>80</v>
      </c>
      <c r="D9" s="526"/>
      <c r="E9" s="526"/>
      <c r="F9" s="526"/>
      <c r="G9" s="526"/>
      <c r="H9" s="526"/>
      <c r="I9" s="526"/>
      <c r="J9" s="526"/>
      <c r="K9" s="526"/>
      <c r="L9" s="15"/>
    </row>
    <row r="10" spans="1:12" ht="12.75">
      <c r="A10" s="82" t="s">
        <v>2208</v>
      </c>
      <c r="B10" s="399" t="s">
        <v>3489</v>
      </c>
      <c r="C10" s="20" t="s">
        <v>3764</v>
      </c>
      <c r="D10" s="20" t="s">
        <v>3651</v>
      </c>
      <c r="E10" s="20" t="s">
        <v>3652</v>
      </c>
      <c r="F10" s="20" t="s">
        <v>125</v>
      </c>
      <c r="G10" s="20" t="s">
        <v>570</v>
      </c>
      <c r="H10" s="379" t="s">
        <v>764</v>
      </c>
      <c r="I10" s="379" t="s">
        <v>2610</v>
      </c>
      <c r="J10" s="33" t="s">
        <v>3653</v>
      </c>
      <c r="K10" s="379" t="s">
        <v>3654</v>
      </c>
      <c r="L10" s="20" t="s">
        <v>1743</v>
      </c>
    </row>
    <row r="11" spans="1:12" ht="12.75">
      <c r="A11" s="82"/>
      <c r="B11" s="399"/>
      <c r="C11" s="15"/>
      <c r="D11" s="15"/>
      <c r="E11" s="15"/>
      <c r="F11" s="15"/>
      <c r="G11" s="15"/>
      <c r="H11" s="49"/>
      <c r="I11" s="49"/>
      <c r="J11" s="50"/>
      <c r="K11" s="50"/>
      <c r="L11" s="15"/>
    </row>
    <row r="12" spans="1:12" ht="15.75">
      <c r="A12" s="282"/>
      <c r="B12" s="432"/>
      <c r="C12" s="508" t="s">
        <v>80</v>
      </c>
      <c r="D12" s="508"/>
      <c r="E12" s="508"/>
      <c r="F12" s="508"/>
      <c r="G12" s="508"/>
      <c r="H12" s="508"/>
      <c r="I12" s="508"/>
      <c r="J12" s="508"/>
      <c r="K12" s="508"/>
      <c r="L12" s="15"/>
    </row>
    <row r="13" spans="1:12" ht="12.75">
      <c r="A13" s="82" t="s">
        <v>2208</v>
      </c>
      <c r="B13" s="399" t="s">
        <v>3526</v>
      </c>
      <c r="C13" s="20" t="s">
        <v>3658</v>
      </c>
      <c r="D13" s="210" t="s">
        <v>3659</v>
      </c>
      <c r="E13" s="210" t="s">
        <v>3660</v>
      </c>
      <c r="F13" s="210" t="s">
        <v>125</v>
      </c>
      <c r="G13" s="210" t="s">
        <v>815</v>
      </c>
      <c r="H13" s="271" t="s">
        <v>3190</v>
      </c>
      <c r="I13" s="271" t="s">
        <v>3222</v>
      </c>
      <c r="J13" s="200" t="s">
        <v>3661</v>
      </c>
      <c r="K13" s="271" t="s">
        <v>3662</v>
      </c>
      <c r="L13" s="210" t="s">
        <v>1906</v>
      </c>
    </row>
    <row r="14" spans="1:12" ht="12.75">
      <c r="A14" s="82"/>
      <c r="B14" s="399"/>
      <c r="C14" s="15"/>
      <c r="D14" s="15"/>
      <c r="E14" s="15"/>
      <c r="F14" s="15"/>
      <c r="G14" s="15"/>
      <c r="H14" s="49"/>
      <c r="I14" s="49"/>
      <c r="J14" s="50"/>
      <c r="K14" s="50"/>
      <c r="L14" s="15"/>
    </row>
    <row r="15" spans="1:12" ht="15.75">
      <c r="A15" s="282"/>
      <c r="B15" s="432"/>
      <c r="C15" s="508" t="s">
        <v>59</v>
      </c>
      <c r="D15" s="508"/>
      <c r="E15" s="508"/>
      <c r="F15" s="508"/>
      <c r="G15" s="508"/>
      <c r="H15" s="508"/>
      <c r="I15" s="508"/>
      <c r="J15" s="508"/>
      <c r="K15" s="508"/>
      <c r="L15" s="15"/>
    </row>
    <row r="16" spans="1:12" ht="12.75">
      <c r="A16" s="82" t="s">
        <v>2208</v>
      </c>
      <c r="B16" s="399" t="s">
        <v>3526</v>
      </c>
      <c r="C16" s="20" t="s">
        <v>3766</v>
      </c>
      <c r="D16" s="210" t="s">
        <v>3664</v>
      </c>
      <c r="E16" s="210" t="s">
        <v>3464</v>
      </c>
      <c r="F16" s="210" t="s">
        <v>125</v>
      </c>
      <c r="G16" s="210" t="s">
        <v>570</v>
      </c>
      <c r="H16" s="271" t="s">
        <v>2186</v>
      </c>
      <c r="I16" s="271" t="s">
        <v>2689</v>
      </c>
      <c r="J16" s="200" t="s">
        <v>3665</v>
      </c>
      <c r="K16" s="271" t="s">
        <v>3666</v>
      </c>
      <c r="L16" s="210" t="s">
        <v>1906</v>
      </c>
    </row>
    <row r="17" spans="1:12" ht="12.75">
      <c r="A17" s="104"/>
      <c r="B17" s="433"/>
      <c r="C17" s="50"/>
      <c r="D17" s="15"/>
      <c r="E17" s="15"/>
      <c r="F17" s="15"/>
      <c r="G17" s="15"/>
      <c r="H17" s="15"/>
      <c r="I17" s="49"/>
      <c r="J17" s="49"/>
      <c r="K17" s="49"/>
      <c r="L17" s="50"/>
    </row>
    <row r="18" spans="1:12" ht="15.75">
      <c r="A18" s="282"/>
      <c r="B18" s="432"/>
      <c r="C18" s="508" t="s">
        <v>164</v>
      </c>
      <c r="D18" s="508"/>
      <c r="E18" s="508"/>
      <c r="F18" s="508"/>
      <c r="G18" s="508"/>
      <c r="H18" s="508"/>
      <c r="I18" s="508"/>
      <c r="J18" s="508"/>
      <c r="K18" s="508"/>
      <c r="L18" s="15"/>
    </row>
    <row r="19" spans="1:12" ht="12.75">
      <c r="A19" s="82" t="s">
        <v>2208</v>
      </c>
      <c r="B19" s="399" t="s">
        <v>3526</v>
      </c>
      <c r="C19" s="20" t="s">
        <v>3767</v>
      </c>
      <c r="D19" s="210" t="s">
        <v>3668</v>
      </c>
      <c r="E19" s="210" t="s">
        <v>3298</v>
      </c>
      <c r="F19" s="210" t="s">
        <v>125</v>
      </c>
      <c r="G19" s="210" t="s">
        <v>1304</v>
      </c>
      <c r="H19" s="346">
        <v>100</v>
      </c>
      <c r="I19" s="346">
        <v>27</v>
      </c>
      <c r="J19" s="200" t="s">
        <v>3345</v>
      </c>
      <c r="K19" s="271" t="s">
        <v>3669</v>
      </c>
      <c r="L19" s="210" t="s">
        <v>3670</v>
      </c>
    </row>
    <row r="20" spans="1:12" ht="12.75">
      <c r="A20" s="82"/>
      <c r="B20" s="399"/>
      <c r="C20" s="15"/>
      <c r="D20" s="15"/>
      <c r="E20" s="15"/>
      <c r="F20" s="15"/>
      <c r="G20" s="15"/>
      <c r="H20" s="49"/>
      <c r="I20" s="49"/>
      <c r="J20" s="50"/>
      <c r="K20" s="50"/>
      <c r="L20" s="15"/>
    </row>
    <row r="21" spans="1:12" ht="15.75">
      <c r="A21" s="282"/>
      <c r="B21" s="432"/>
      <c r="C21" s="526" t="s">
        <v>227</v>
      </c>
      <c r="D21" s="526"/>
      <c r="E21" s="526"/>
      <c r="F21" s="526"/>
      <c r="G21" s="526"/>
      <c r="H21" s="526"/>
      <c r="I21" s="526"/>
      <c r="J21" s="526"/>
      <c r="K21" s="526"/>
      <c r="L21" s="15"/>
    </row>
    <row r="22" spans="1:12" ht="12.75">
      <c r="A22" s="82" t="s">
        <v>2208</v>
      </c>
      <c r="B22" s="399" t="s">
        <v>3526</v>
      </c>
      <c r="C22" s="17" t="s">
        <v>3768</v>
      </c>
      <c r="D22" s="88" t="s">
        <v>3354</v>
      </c>
      <c r="E22" s="84" t="s">
        <v>726</v>
      </c>
      <c r="F22" s="17" t="s">
        <v>125</v>
      </c>
      <c r="G22" s="84" t="s">
        <v>1643</v>
      </c>
      <c r="H22" s="264" t="s">
        <v>3337</v>
      </c>
      <c r="I22" s="280" t="s">
        <v>2731</v>
      </c>
      <c r="J22" s="35" t="s">
        <v>3671</v>
      </c>
      <c r="K22" s="280" t="s">
        <v>3672</v>
      </c>
      <c r="L22" s="17" t="s">
        <v>1906</v>
      </c>
    </row>
    <row r="23" spans="1:12" ht="12.75">
      <c r="A23" s="82" t="s">
        <v>2208</v>
      </c>
      <c r="B23" s="399" t="s">
        <v>3506</v>
      </c>
      <c r="C23" s="18" t="s">
        <v>3769</v>
      </c>
      <c r="D23" s="93" t="s">
        <v>3674</v>
      </c>
      <c r="E23" s="79" t="s">
        <v>3675</v>
      </c>
      <c r="F23" s="18" t="s">
        <v>2348</v>
      </c>
      <c r="G23" s="79" t="s">
        <v>267</v>
      </c>
      <c r="H23" s="258" t="s">
        <v>3337</v>
      </c>
      <c r="I23" s="104" t="s">
        <v>3351</v>
      </c>
      <c r="J23" s="38" t="s">
        <v>3676</v>
      </c>
      <c r="K23" s="104" t="s">
        <v>3677</v>
      </c>
      <c r="L23" s="18" t="s">
        <v>3499</v>
      </c>
    </row>
    <row r="24" spans="1:12" ht="12.75">
      <c r="A24" s="82" t="s">
        <v>2208</v>
      </c>
      <c r="B24" s="399" t="s">
        <v>3506</v>
      </c>
      <c r="C24" s="18" t="s">
        <v>3770</v>
      </c>
      <c r="D24" s="93" t="s">
        <v>3679</v>
      </c>
      <c r="E24" s="79" t="s">
        <v>3680</v>
      </c>
      <c r="F24" s="18" t="s">
        <v>125</v>
      </c>
      <c r="G24" s="79" t="s">
        <v>1643</v>
      </c>
      <c r="H24" s="258" t="s">
        <v>3337</v>
      </c>
      <c r="I24" s="104" t="s">
        <v>3351</v>
      </c>
      <c r="J24" s="38" t="s">
        <v>3676</v>
      </c>
      <c r="K24" s="104" t="s">
        <v>3681</v>
      </c>
      <c r="L24" s="18" t="s">
        <v>1906</v>
      </c>
    </row>
    <row r="25" spans="1:12" ht="12.75">
      <c r="A25" s="82" t="s">
        <v>2209</v>
      </c>
      <c r="B25" s="399" t="s">
        <v>3493</v>
      </c>
      <c r="C25" s="19" t="s">
        <v>3768</v>
      </c>
      <c r="D25" s="95" t="s">
        <v>3363</v>
      </c>
      <c r="E25" s="98" t="s">
        <v>726</v>
      </c>
      <c r="F25" s="19" t="s">
        <v>125</v>
      </c>
      <c r="G25" s="98" t="s">
        <v>1643</v>
      </c>
      <c r="H25" s="265" t="s">
        <v>3337</v>
      </c>
      <c r="I25" s="281" t="s">
        <v>2731</v>
      </c>
      <c r="J25" s="41" t="s">
        <v>3671</v>
      </c>
      <c r="K25" s="281" t="s">
        <v>3672</v>
      </c>
      <c r="L25" s="19" t="s">
        <v>1906</v>
      </c>
    </row>
    <row r="26" spans="1:12" ht="12.75">
      <c r="A26" s="82"/>
      <c r="B26" s="399"/>
      <c r="C26" s="15"/>
      <c r="D26" s="15"/>
      <c r="E26" s="15"/>
      <c r="F26" s="15"/>
      <c r="G26" s="15"/>
      <c r="H26" s="49"/>
      <c r="I26" s="49"/>
      <c r="J26" s="50"/>
      <c r="K26" s="50"/>
      <c r="L26" s="15"/>
    </row>
    <row r="27" spans="1:12" ht="15.75">
      <c r="A27" s="282"/>
      <c r="B27" s="432"/>
      <c r="C27" s="526" t="s">
        <v>3319</v>
      </c>
      <c r="D27" s="526"/>
      <c r="E27" s="526"/>
      <c r="F27" s="526"/>
      <c r="G27" s="526"/>
      <c r="H27" s="526"/>
      <c r="I27" s="526"/>
      <c r="J27" s="526"/>
      <c r="K27" s="526"/>
      <c r="L27" s="15"/>
    </row>
    <row r="28" spans="1:12" ht="12.75">
      <c r="A28" s="82" t="s">
        <v>2208</v>
      </c>
      <c r="B28" s="399" t="s">
        <v>3489</v>
      </c>
      <c r="C28" s="17" t="s">
        <v>3771</v>
      </c>
      <c r="D28" s="88" t="s">
        <v>3682</v>
      </c>
      <c r="E28" s="84" t="s">
        <v>3683</v>
      </c>
      <c r="F28" s="17" t="s">
        <v>125</v>
      </c>
      <c r="G28" s="84" t="s">
        <v>1643</v>
      </c>
      <c r="H28" s="264" t="s">
        <v>3582</v>
      </c>
      <c r="I28" s="280" t="s">
        <v>2617</v>
      </c>
      <c r="J28" s="35" t="s">
        <v>3684</v>
      </c>
      <c r="K28" s="280" t="s">
        <v>3685</v>
      </c>
      <c r="L28" s="17" t="s">
        <v>2067</v>
      </c>
    </row>
    <row r="29" spans="1:12" ht="12.75">
      <c r="A29" s="97">
        <v>1</v>
      </c>
      <c r="B29" s="434">
        <v>36</v>
      </c>
      <c r="C29" s="18" t="s">
        <v>3772</v>
      </c>
      <c r="D29" s="93" t="s">
        <v>3687</v>
      </c>
      <c r="E29" s="79" t="s">
        <v>3683</v>
      </c>
      <c r="F29" s="18" t="s">
        <v>125</v>
      </c>
      <c r="G29" s="79" t="s">
        <v>143</v>
      </c>
      <c r="H29" s="400">
        <v>120</v>
      </c>
      <c r="I29" s="97">
        <v>31</v>
      </c>
      <c r="J29" s="401">
        <v>3720</v>
      </c>
      <c r="K29" s="279">
        <v>2817.4536</v>
      </c>
      <c r="L29" s="18" t="s">
        <v>1906</v>
      </c>
    </row>
    <row r="30" spans="1:12" ht="12.75">
      <c r="A30" s="82" t="s">
        <v>2209</v>
      </c>
      <c r="B30" s="399" t="s">
        <v>3353</v>
      </c>
      <c r="C30" s="19" t="s">
        <v>3771</v>
      </c>
      <c r="D30" s="95" t="s">
        <v>3688</v>
      </c>
      <c r="E30" s="98" t="s">
        <v>3683</v>
      </c>
      <c r="F30" s="19" t="s">
        <v>125</v>
      </c>
      <c r="G30" s="98" t="s">
        <v>1643</v>
      </c>
      <c r="H30" s="265" t="s">
        <v>3582</v>
      </c>
      <c r="I30" s="281" t="s">
        <v>2617</v>
      </c>
      <c r="J30" s="41" t="s">
        <v>3684</v>
      </c>
      <c r="K30" s="281" t="s">
        <v>3685</v>
      </c>
      <c r="L30" s="19" t="s">
        <v>2067</v>
      </c>
    </row>
    <row r="31" spans="1:12" ht="12.75">
      <c r="A31" s="82"/>
      <c r="B31" s="399"/>
      <c r="C31" s="15"/>
      <c r="D31" s="15"/>
      <c r="E31" s="15"/>
      <c r="F31" s="15"/>
      <c r="G31" s="15"/>
      <c r="H31" s="49"/>
      <c r="I31" s="49"/>
      <c r="J31" s="50"/>
      <c r="K31" s="50"/>
      <c r="L31" s="15"/>
    </row>
    <row r="32" spans="1:12" ht="18">
      <c r="A32" s="50"/>
      <c r="B32" s="402"/>
      <c r="C32" s="343" t="s">
        <v>370</v>
      </c>
      <c r="D32" s="16"/>
      <c r="E32" s="15"/>
      <c r="F32" s="15"/>
      <c r="G32" s="15"/>
      <c r="H32" s="49"/>
      <c r="I32" s="49"/>
      <c r="J32" s="50"/>
      <c r="K32" s="50"/>
      <c r="L32" s="15"/>
    </row>
    <row r="33" spans="1:12" ht="18">
      <c r="A33" s="50"/>
      <c r="B33" s="402"/>
      <c r="C33" s="272" t="s">
        <v>2145</v>
      </c>
      <c r="D33" s="16"/>
      <c r="E33" s="15"/>
      <c r="F33" s="15"/>
      <c r="G33" s="15"/>
      <c r="H33" s="49"/>
      <c r="I33" s="49"/>
      <c r="J33" s="50"/>
      <c r="K33" s="50"/>
      <c r="L33" s="15"/>
    </row>
    <row r="34" spans="1:12" ht="12.75">
      <c r="A34" s="50"/>
      <c r="B34" s="402"/>
      <c r="C34" s="15"/>
      <c r="D34" s="15"/>
      <c r="E34" s="15"/>
      <c r="F34" s="15"/>
      <c r="G34" s="15"/>
      <c r="H34" s="49"/>
      <c r="I34" s="49"/>
      <c r="J34" s="50"/>
      <c r="K34" s="50"/>
      <c r="L34" s="15"/>
    </row>
    <row r="35" spans="1:12" ht="13.5">
      <c r="A35" s="50"/>
      <c r="B35" s="402"/>
      <c r="C35" s="26" t="s">
        <v>373</v>
      </c>
      <c r="D35" s="181" t="s">
        <v>374</v>
      </c>
      <c r="E35" s="181" t="s">
        <v>3286</v>
      </c>
      <c r="F35" s="181" t="s">
        <v>377</v>
      </c>
      <c r="G35" s="15"/>
      <c r="H35" s="49"/>
      <c r="I35" s="49"/>
      <c r="J35" s="50"/>
      <c r="K35" s="50"/>
      <c r="L35" s="15"/>
    </row>
    <row r="36" spans="1:12" ht="12.75">
      <c r="A36" s="50" t="s">
        <v>2208</v>
      </c>
      <c r="B36" s="402"/>
      <c r="C36" s="15" t="s">
        <v>3650</v>
      </c>
      <c r="D36" s="49" t="s">
        <v>3189</v>
      </c>
      <c r="E36" s="49" t="s">
        <v>3652</v>
      </c>
      <c r="F36" s="49" t="s">
        <v>3654</v>
      </c>
      <c r="G36" s="15"/>
      <c r="H36" s="49"/>
      <c r="I36" s="49"/>
      <c r="J36" s="50"/>
      <c r="K36" s="50"/>
      <c r="L36" s="15"/>
    </row>
    <row r="37" spans="1:12" ht="12.75">
      <c r="A37" s="50" t="s">
        <v>2209</v>
      </c>
      <c r="B37" s="402"/>
      <c r="C37" s="15" t="s">
        <v>3645</v>
      </c>
      <c r="D37" s="49" t="s">
        <v>3189</v>
      </c>
      <c r="E37" s="49" t="s">
        <v>3646</v>
      </c>
      <c r="F37" s="49" t="s">
        <v>3649</v>
      </c>
      <c r="G37" s="15"/>
      <c r="H37" s="49"/>
      <c r="I37" s="49"/>
      <c r="J37" s="50"/>
      <c r="K37" s="50"/>
      <c r="L37" s="15"/>
    </row>
    <row r="38" spans="1:12" ht="12.75">
      <c r="A38" s="50" t="s">
        <v>2210</v>
      </c>
      <c r="B38" s="402"/>
      <c r="C38" s="15" t="s">
        <v>3655</v>
      </c>
      <c r="D38" s="49" t="s">
        <v>3189</v>
      </c>
      <c r="E38" s="49" t="s">
        <v>515</v>
      </c>
      <c r="F38" s="49" t="s">
        <v>3657</v>
      </c>
      <c r="G38" s="15"/>
      <c r="H38" s="49"/>
      <c r="I38" s="49"/>
      <c r="J38" s="50"/>
      <c r="K38" s="50"/>
      <c r="L38" s="15"/>
    </row>
    <row r="39" spans="1:12" ht="18">
      <c r="A39" s="50"/>
      <c r="B39" s="402"/>
      <c r="C39" s="343"/>
      <c r="D39" s="230"/>
      <c r="E39" s="49"/>
      <c r="F39" s="49"/>
      <c r="G39" s="15"/>
      <c r="H39" s="49"/>
      <c r="I39" s="49"/>
      <c r="J39" s="50"/>
      <c r="K39" s="50"/>
      <c r="L39" s="15"/>
    </row>
    <row r="40" spans="1:12" ht="18">
      <c r="A40" s="50"/>
      <c r="B40" s="402"/>
      <c r="C40" s="272" t="s">
        <v>387</v>
      </c>
      <c r="D40" s="230"/>
      <c r="E40" s="49"/>
      <c r="F40" s="49"/>
      <c r="G40" s="15"/>
      <c r="H40" s="49"/>
      <c r="I40" s="49"/>
      <c r="J40" s="50"/>
      <c r="K40" s="50"/>
      <c r="L40" s="15"/>
    </row>
    <row r="41" spans="1:12" ht="12.75">
      <c r="A41" s="50"/>
      <c r="B41" s="402"/>
      <c r="C41" s="15"/>
      <c r="D41" s="49"/>
      <c r="E41" s="49"/>
      <c r="F41" s="49"/>
      <c r="G41" s="15"/>
      <c r="H41" s="49"/>
      <c r="I41" s="49"/>
      <c r="J41" s="50"/>
      <c r="K41" s="50"/>
      <c r="L41" s="15"/>
    </row>
    <row r="42" spans="1:12" ht="13.5">
      <c r="A42" s="50"/>
      <c r="B42" s="402"/>
      <c r="C42" s="26" t="s">
        <v>373</v>
      </c>
      <c r="D42" s="181" t="s">
        <v>374</v>
      </c>
      <c r="E42" s="181" t="s">
        <v>3286</v>
      </c>
      <c r="F42" s="181" t="s">
        <v>377</v>
      </c>
      <c r="G42" s="15"/>
      <c r="H42" s="49"/>
      <c r="I42" s="49"/>
      <c r="J42" s="50"/>
      <c r="K42" s="50"/>
      <c r="L42" s="15"/>
    </row>
    <row r="43" spans="1:12" ht="12.75">
      <c r="A43" s="50" t="s">
        <v>2208</v>
      </c>
      <c r="B43" s="402"/>
      <c r="C43" s="15" t="s">
        <v>3686</v>
      </c>
      <c r="D43" s="49" t="s">
        <v>3189</v>
      </c>
      <c r="E43" s="49" t="s">
        <v>3683</v>
      </c>
      <c r="F43" s="229">
        <v>2817.4536</v>
      </c>
      <c r="G43" s="15"/>
      <c r="H43" s="49"/>
      <c r="I43" s="49"/>
      <c r="J43" s="50"/>
      <c r="K43" s="50"/>
      <c r="L43" s="15"/>
    </row>
    <row r="44" spans="1:12" ht="12.75">
      <c r="A44" s="50" t="s">
        <v>2209</v>
      </c>
      <c r="B44" s="402"/>
      <c r="C44" s="15" t="s">
        <v>3667</v>
      </c>
      <c r="D44" s="49" t="s">
        <v>3189</v>
      </c>
      <c r="E44" s="49" t="s">
        <v>3298</v>
      </c>
      <c r="F44" s="49" t="s">
        <v>3669</v>
      </c>
      <c r="G44" s="15"/>
      <c r="H44" s="49"/>
      <c r="I44" s="49"/>
      <c r="J44" s="50"/>
      <c r="K44" s="50"/>
      <c r="L44" s="15"/>
    </row>
    <row r="45" spans="1:12" ht="12.75">
      <c r="A45" s="50" t="s">
        <v>2210</v>
      </c>
      <c r="B45" s="402"/>
      <c r="C45" s="15" t="s">
        <v>1582</v>
      </c>
      <c r="D45" s="49" t="s">
        <v>3189</v>
      </c>
      <c r="E45" s="49" t="s">
        <v>3683</v>
      </c>
      <c r="F45" s="49" t="s">
        <v>3685</v>
      </c>
      <c r="G45" s="15"/>
      <c r="H45" s="49"/>
      <c r="I45" s="49"/>
      <c r="J45" s="50"/>
      <c r="K45" s="50"/>
      <c r="L45" s="15"/>
    </row>
    <row r="46" spans="1:12" ht="12.75">
      <c r="A46" s="50"/>
      <c r="B46" s="402"/>
      <c r="C46" s="15"/>
      <c r="D46" s="49"/>
      <c r="E46" s="49"/>
      <c r="F46" s="49"/>
      <c r="G46" s="15"/>
      <c r="H46" s="49"/>
      <c r="I46" s="49"/>
      <c r="J46" s="50"/>
      <c r="K46" s="50"/>
      <c r="L46" s="15"/>
    </row>
    <row r="47" spans="1:12" ht="13.5">
      <c r="A47" s="50"/>
      <c r="B47" s="402"/>
      <c r="C47" s="26" t="s">
        <v>373</v>
      </c>
      <c r="D47" s="181" t="s">
        <v>374</v>
      </c>
      <c r="E47" s="181" t="s">
        <v>3286</v>
      </c>
      <c r="F47" s="181" t="s">
        <v>377</v>
      </c>
      <c r="G47" s="15"/>
      <c r="H47" s="49"/>
      <c r="I47" s="49"/>
      <c r="J47" s="50"/>
      <c r="K47" s="50"/>
      <c r="L47" s="15"/>
    </row>
    <row r="48" spans="1:12" ht="12.75">
      <c r="A48" s="50" t="s">
        <v>2208</v>
      </c>
      <c r="B48" s="402"/>
      <c r="C48" s="15" t="s">
        <v>3678</v>
      </c>
      <c r="D48" s="49" t="s">
        <v>3460</v>
      </c>
      <c r="E48" s="49" t="s">
        <v>3680</v>
      </c>
      <c r="F48" s="49" t="s">
        <v>3681</v>
      </c>
      <c r="G48" s="15"/>
      <c r="H48" s="49"/>
      <c r="I48" s="49"/>
      <c r="J48" s="50"/>
      <c r="K48" s="50"/>
      <c r="L48" s="15"/>
    </row>
    <row r="49" spans="1:12" ht="12.75">
      <c r="A49" s="50" t="s">
        <v>2209</v>
      </c>
      <c r="B49" s="402"/>
      <c r="C49" s="15" t="s">
        <v>3673</v>
      </c>
      <c r="D49" s="49" t="s">
        <v>3458</v>
      </c>
      <c r="E49" s="49" t="s">
        <v>3675</v>
      </c>
      <c r="F49" s="49" t="s">
        <v>3677</v>
      </c>
      <c r="G49" s="15"/>
      <c r="H49" s="49"/>
      <c r="I49" s="49"/>
      <c r="J49" s="50"/>
      <c r="K49" s="50"/>
      <c r="L49" s="15"/>
    </row>
    <row r="50" spans="1:12" ht="12.75">
      <c r="A50" s="50" t="s">
        <v>2210</v>
      </c>
      <c r="B50" s="402"/>
      <c r="C50" s="15" t="s">
        <v>2841</v>
      </c>
      <c r="D50" s="49" t="s">
        <v>3460</v>
      </c>
      <c r="E50" s="49" t="s">
        <v>726</v>
      </c>
      <c r="F50" s="49" t="s">
        <v>3672</v>
      </c>
      <c r="G50" s="15"/>
      <c r="H50" s="49"/>
      <c r="I50" s="49"/>
      <c r="J50" s="50"/>
      <c r="K50" s="50"/>
      <c r="L50" s="15"/>
    </row>
    <row r="51" spans="1:12" ht="12.75">
      <c r="A51" s="50"/>
      <c r="B51" s="402"/>
      <c r="C51" s="15"/>
      <c r="D51" s="15"/>
      <c r="E51" s="15"/>
      <c r="F51" s="15"/>
      <c r="G51" s="15"/>
      <c r="H51" s="49"/>
      <c r="I51" s="49"/>
      <c r="J51" s="50"/>
      <c r="K51" s="50"/>
      <c r="L51" s="15"/>
    </row>
    <row r="52" spans="1:12" ht="12.75">
      <c r="A52" s="50"/>
      <c r="B52" s="402"/>
      <c r="C52" s="15"/>
      <c r="D52" s="15"/>
      <c r="E52" s="15"/>
      <c r="F52" s="15"/>
      <c r="G52" s="15"/>
      <c r="H52" s="49"/>
      <c r="I52" s="49"/>
      <c r="J52" s="50"/>
      <c r="K52" s="50"/>
      <c r="L52" s="15"/>
    </row>
    <row r="53" spans="1:12" ht="12.75">
      <c r="A53" s="50"/>
      <c r="B53" s="402"/>
      <c r="C53" s="15"/>
      <c r="D53" s="15"/>
      <c r="E53" s="15"/>
      <c r="F53" s="15"/>
      <c r="G53" s="15"/>
      <c r="H53" s="49"/>
      <c r="I53" s="49"/>
      <c r="J53" s="50"/>
      <c r="K53" s="50"/>
      <c r="L53" s="15"/>
    </row>
    <row r="54" spans="1:12" ht="12.75">
      <c r="A54" s="50"/>
      <c r="B54" s="402"/>
      <c r="C54" s="15"/>
      <c r="D54" s="15"/>
      <c r="E54" s="15"/>
      <c r="F54" s="15"/>
      <c r="G54" s="15"/>
      <c r="H54" s="49"/>
      <c r="I54" s="49"/>
      <c r="J54" s="50"/>
      <c r="K54" s="50"/>
      <c r="L54" s="15"/>
    </row>
    <row r="55" spans="1:12" ht="12.75">
      <c r="A55" s="50"/>
      <c r="B55" s="402"/>
      <c r="C55" s="15"/>
      <c r="D55" s="15"/>
      <c r="E55" s="15"/>
      <c r="F55" s="15"/>
      <c r="G55" s="15"/>
      <c r="H55" s="49"/>
      <c r="I55" s="49"/>
      <c r="J55" s="50"/>
      <c r="K55" s="50"/>
      <c r="L55" s="15"/>
    </row>
    <row r="56" spans="1:12" ht="12.75">
      <c r="A56" s="50"/>
      <c r="B56" s="402"/>
      <c r="C56" s="15"/>
      <c r="D56" s="15"/>
      <c r="E56" s="15"/>
      <c r="F56" s="15"/>
      <c r="G56" s="15"/>
      <c r="H56" s="49"/>
      <c r="I56" s="49"/>
      <c r="J56" s="50"/>
      <c r="K56" s="50"/>
      <c r="L56" s="15"/>
    </row>
    <row r="57" spans="1:12" ht="12.75">
      <c r="A57" s="50"/>
      <c r="B57" s="402"/>
      <c r="C57" s="15"/>
      <c r="D57" s="15"/>
      <c r="E57" s="15"/>
      <c r="F57" s="15"/>
      <c r="G57" s="15"/>
      <c r="H57" s="49"/>
      <c r="I57" s="49"/>
      <c r="J57" s="50"/>
      <c r="K57" s="50"/>
      <c r="L57" s="15"/>
    </row>
    <row r="58" spans="1:12" ht="12.75">
      <c r="A58" s="50"/>
      <c r="B58" s="402"/>
      <c r="C58" s="15"/>
      <c r="D58" s="15"/>
      <c r="E58" s="15"/>
      <c r="F58" s="15"/>
      <c r="G58" s="15"/>
      <c r="H58" s="49"/>
      <c r="I58" s="49"/>
      <c r="J58" s="50"/>
      <c r="K58" s="50"/>
      <c r="L58" s="15"/>
    </row>
    <row r="59" spans="1:12" ht="12.75">
      <c r="A59" s="50"/>
      <c r="B59" s="402"/>
      <c r="C59" s="15"/>
      <c r="D59" s="15"/>
      <c r="E59" s="15"/>
      <c r="F59" s="15"/>
      <c r="G59" s="15"/>
      <c r="H59" s="49"/>
      <c r="I59" s="49"/>
      <c r="J59" s="50"/>
      <c r="K59" s="50"/>
      <c r="L59" s="15"/>
    </row>
  </sheetData>
  <sheetProtection/>
  <mergeCells count="19">
    <mergeCell ref="K3:K4"/>
    <mergeCell ref="C21:K21"/>
    <mergeCell ref="C27:K27"/>
    <mergeCell ref="L3:L4"/>
    <mergeCell ref="C6:K6"/>
    <mergeCell ref="C9:K9"/>
    <mergeCell ref="C12:K12"/>
    <mergeCell ref="C15:K15"/>
    <mergeCell ref="C18:K18"/>
    <mergeCell ref="B3:B4"/>
    <mergeCell ref="C1:L1"/>
    <mergeCell ref="C2:L2"/>
    <mergeCell ref="A3:A4"/>
    <mergeCell ref="C3:C4"/>
    <mergeCell ref="E3:E4"/>
    <mergeCell ref="F3:F4"/>
    <mergeCell ref="G3:G4"/>
    <mergeCell ref="H3:I3"/>
    <mergeCell ref="J3:J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5" sqref="A5:IV5"/>
    </sheetView>
  </sheetViews>
  <sheetFormatPr defaultColWidth="11.375" defaultRowHeight="12.75"/>
  <cols>
    <col min="1" max="1" width="8.00390625" style="0" customWidth="1"/>
    <col min="2" max="2" width="11.625" style="409" customWidth="1"/>
    <col min="3" max="3" width="26.75390625" style="0" customWidth="1"/>
    <col min="4" max="4" width="23.75390625" style="0" customWidth="1"/>
    <col min="5" max="5" width="15.625" style="0" customWidth="1"/>
    <col min="6" max="6" width="15.75390625" style="0" customWidth="1"/>
    <col min="7" max="7" width="25.125" style="0" customWidth="1"/>
    <col min="8" max="10" width="6.75390625" style="0" customWidth="1"/>
    <col min="11" max="12" width="11.375" style="0" customWidth="1"/>
    <col min="13" max="13" width="15.375" style="0" customWidth="1"/>
  </cols>
  <sheetData>
    <row r="1" spans="1:14" ht="57.75" customHeight="1">
      <c r="A1" s="104"/>
      <c r="B1" s="433"/>
      <c r="C1" s="509" t="s">
        <v>3689</v>
      </c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49"/>
    </row>
    <row r="2" spans="1:14" ht="30" thickBot="1">
      <c r="A2" s="104"/>
      <c r="B2" s="433"/>
      <c r="C2" s="509" t="s">
        <v>3283</v>
      </c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49"/>
    </row>
    <row r="3" spans="1:14" ht="27" customHeight="1">
      <c r="A3" s="512" t="s">
        <v>1627</v>
      </c>
      <c r="B3" s="516" t="s">
        <v>4516</v>
      </c>
      <c r="C3" s="514" t="s">
        <v>0</v>
      </c>
      <c r="D3" s="454" t="s">
        <v>3284</v>
      </c>
      <c r="E3" s="514" t="s">
        <v>3286</v>
      </c>
      <c r="F3" s="514" t="s">
        <v>7</v>
      </c>
      <c r="G3" s="514" t="s">
        <v>3287</v>
      </c>
      <c r="H3" s="514" t="s">
        <v>2</v>
      </c>
      <c r="I3" s="514"/>
      <c r="J3" s="514"/>
      <c r="K3" s="514" t="s">
        <v>1672</v>
      </c>
      <c r="L3" s="514" t="s">
        <v>6</v>
      </c>
      <c r="M3" s="510" t="s">
        <v>5</v>
      </c>
      <c r="N3" s="184"/>
    </row>
    <row r="4" spans="1:14" ht="15" thickBot="1">
      <c r="A4" s="513"/>
      <c r="B4" s="517"/>
      <c r="C4" s="515"/>
      <c r="D4" s="455" t="s">
        <v>3285</v>
      </c>
      <c r="E4" s="515"/>
      <c r="F4" s="515"/>
      <c r="G4" s="515"/>
      <c r="H4" s="457" t="s">
        <v>2208</v>
      </c>
      <c r="I4" s="457" t="s">
        <v>2209</v>
      </c>
      <c r="J4" s="457" t="s">
        <v>2210</v>
      </c>
      <c r="K4" s="515"/>
      <c r="L4" s="515"/>
      <c r="M4" s="511"/>
      <c r="N4" s="184"/>
    </row>
    <row r="5" spans="1:14" ht="13.5">
      <c r="A5" s="184"/>
      <c r="B5" s="302"/>
      <c r="C5" s="184"/>
      <c r="D5" s="184"/>
      <c r="E5" s="184"/>
      <c r="F5" s="184"/>
      <c r="G5" s="184"/>
      <c r="H5" s="270"/>
      <c r="I5" s="270"/>
      <c r="J5" s="270"/>
      <c r="K5" s="184"/>
      <c r="L5" s="184"/>
      <c r="M5" s="184"/>
      <c r="N5" s="184"/>
    </row>
    <row r="6" spans="1:13" ht="15.75">
      <c r="A6" s="282"/>
      <c r="B6" s="432"/>
      <c r="C6" s="526" t="s">
        <v>80</v>
      </c>
      <c r="D6" s="526"/>
      <c r="E6" s="526"/>
      <c r="F6" s="526"/>
      <c r="G6" s="526"/>
      <c r="H6" s="526"/>
      <c r="I6" s="526"/>
      <c r="J6" s="526"/>
      <c r="K6" s="526"/>
      <c r="L6" s="526"/>
      <c r="M6" s="15"/>
    </row>
    <row r="7" spans="1:13" ht="12.75">
      <c r="A7" s="82" t="s">
        <v>2208</v>
      </c>
      <c r="B7" s="399" t="s">
        <v>3526</v>
      </c>
      <c r="C7" s="83" t="s">
        <v>3773</v>
      </c>
      <c r="D7" s="17" t="s">
        <v>3690</v>
      </c>
      <c r="E7" s="84" t="s">
        <v>3691</v>
      </c>
      <c r="F7" s="17" t="s">
        <v>483</v>
      </c>
      <c r="G7" s="84" t="s">
        <v>484</v>
      </c>
      <c r="H7" s="395" t="s">
        <v>419</v>
      </c>
      <c r="I7" s="349" t="s">
        <v>457</v>
      </c>
      <c r="J7" s="351" t="s">
        <v>457</v>
      </c>
      <c r="K7" s="87" t="s">
        <v>419</v>
      </c>
      <c r="L7" s="264" t="s">
        <v>3692</v>
      </c>
      <c r="M7" s="88" t="s">
        <v>2004</v>
      </c>
    </row>
    <row r="8" spans="1:13" ht="12.75">
      <c r="A8" s="82" t="s">
        <v>2208</v>
      </c>
      <c r="B8" s="399" t="s">
        <v>3489</v>
      </c>
      <c r="C8" s="94" t="s">
        <v>3764</v>
      </c>
      <c r="D8" s="19" t="s">
        <v>3651</v>
      </c>
      <c r="E8" s="98" t="s">
        <v>3652</v>
      </c>
      <c r="F8" s="19" t="s">
        <v>125</v>
      </c>
      <c r="G8" s="98" t="s">
        <v>570</v>
      </c>
      <c r="H8" s="390">
        <v>72.5</v>
      </c>
      <c r="I8" s="388">
        <v>77.5</v>
      </c>
      <c r="J8" s="352" t="s">
        <v>48</v>
      </c>
      <c r="K8" s="100" t="s">
        <v>666</v>
      </c>
      <c r="L8" s="265" t="s">
        <v>3693</v>
      </c>
      <c r="M8" s="95" t="s">
        <v>3694</v>
      </c>
    </row>
    <row r="9" spans="1:13" ht="12.75">
      <c r="A9" s="82"/>
      <c r="B9" s="399"/>
      <c r="C9" s="15"/>
      <c r="D9" s="15"/>
      <c r="E9" s="15"/>
      <c r="F9" s="15"/>
      <c r="G9" s="15"/>
      <c r="H9" s="229"/>
      <c r="I9" s="229"/>
      <c r="J9" s="348"/>
      <c r="K9" s="50"/>
      <c r="L9" s="50"/>
      <c r="M9" s="15"/>
    </row>
    <row r="10" spans="1:13" ht="15.75">
      <c r="A10" s="282"/>
      <c r="B10" s="432"/>
      <c r="C10" s="508" t="s">
        <v>80</v>
      </c>
      <c r="D10" s="508"/>
      <c r="E10" s="508"/>
      <c r="F10" s="508"/>
      <c r="G10" s="508"/>
      <c r="H10" s="508"/>
      <c r="I10" s="508"/>
      <c r="J10" s="508"/>
      <c r="K10" s="508"/>
      <c r="L10" s="508"/>
      <c r="M10" s="15"/>
    </row>
    <row r="11" spans="1:13" ht="12.75">
      <c r="A11" s="82" t="s">
        <v>2208</v>
      </c>
      <c r="B11" s="399" t="s">
        <v>3526</v>
      </c>
      <c r="C11" s="20" t="s">
        <v>3658</v>
      </c>
      <c r="D11" s="210" t="s">
        <v>3659</v>
      </c>
      <c r="E11" s="210" t="s">
        <v>3660</v>
      </c>
      <c r="F11" s="210" t="s">
        <v>125</v>
      </c>
      <c r="G11" s="210" t="s">
        <v>815</v>
      </c>
      <c r="H11" s="378" t="s">
        <v>55</v>
      </c>
      <c r="I11" s="378" t="s">
        <v>416</v>
      </c>
      <c r="J11" s="378" t="s">
        <v>56</v>
      </c>
      <c r="K11" s="200" t="s">
        <v>56</v>
      </c>
      <c r="L11" s="271" t="s">
        <v>3695</v>
      </c>
      <c r="M11" s="210" t="s">
        <v>1906</v>
      </c>
    </row>
    <row r="12" spans="1:13" ht="12.75">
      <c r="A12" s="82"/>
      <c r="B12" s="399"/>
      <c r="C12" s="15"/>
      <c r="D12" s="15"/>
      <c r="E12" s="15"/>
      <c r="F12" s="15"/>
      <c r="G12" s="15"/>
      <c r="H12" s="49"/>
      <c r="I12" s="49"/>
      <c r="J12" s="49"/>
      <c r="K12" s="50"/>
      <c r="L12" s="50"/>
      <c r="M12" s="15"/>
    </row>
    <row r="13" spans="1:13" ht="15.75">
      <c r="A13" s="282"/>
      <c r="B13" s="432"/>
      <c r="C13" s="526" t="s">
        <v>2977</v>
      </c>
      <c r="D13" s="526"/>
      <c r="E13" s="526"/>
      <c r="F13" s="526"/>
      <c r="G13" s="526"/>
      <c r="H13" s="526"/>
      <c r="I13" s="526"/>
      <c r="J13" s="526"/>
      <c r="K13" s="526"/>
      <c r="L13" s="526"/>
      <c r="M13" s="15"/>
    </row>
    <row r="14" spans="1:13" ht="12.75">
      <c r="A14" s="82" t="s">
        <v>2208</v>
      </c>
      <c r="B14" s="399" t="s">
        <v>3526</v>
      </c>
      <c r="C14" s="83" t="s">
        <v>3774</v>
      </c>
      <c r="D14" s="17" t="s">
        <v>3697</v>
      </c>
      <c r="E14" s="84" t="s">
        <v>3698</v>
      </c>
      <c r="F14" s="17" t="s">
        <v>125</v>
      </c>
      <c r="G14" s="84" t="s">
        <v>815</v>
      </c>
      <c r="H14" s="395" t="s">
        <v>89</v>
      </c>
      <c r="I14" s="349" t="s">
        <v>480</v>
      </c>
      <c r="J14" s="351" t="s">
        <v>480</v>
      </c>
      <c r="K14" s="87" t="s">
        <v>89</v>
      </c>
      <c r="L14" s="264" t="s">
        <v>3699</v>
      </c>
      <c r="M14" s="88" t="s">
        <v>1906</v>
      </c>
    </row>
    <row r="15" spans="1:13" ht="12.75">
      <c r="A15" s="82" t="s">
        <v>2208</v>
      </c>
      <c r="B15" s="399" t="s">
        <v>3526</v>
      </c>
      <c r="C15" s="94" t="s">
        <v>3775</v>
      </c>
      <c r="D15" s="19" t="s">
        <v>3701</v>
      </c>
      <c r="E15" s="98" t="s">
        <v>3702</v>
      </c>
      <c r="F15" s="19" t="s">
        <v>125</v>
      </c>
      <c r="G15" s="98" t="s">
        <v>87</v>
      </c>
      <c r="H15" s="352" t="s">
        <v>544</v>
      </c>
      <c r="I15" s="394" t="s">
        <v>446</v>
      </c>
      <c r="J15" s="397" t="s">
        <v>528</v>
      </c>
      <c r="K15" s="100" t="s">
        <v>528</v>
      </c>
      <c r="L15" s="265" t="s">
        <v>3703</v>
      </c>
      <c r="M15" s="95" t="s">
        <v>3704</v>
      </c>
    </row>
    <row r="16" spans="1:13" ht="12.75">
      <c r="A16" s="82"/>
      <c r="B16" s="399"/>
      <c r="C16" s="15"/>
      <c r="D16" s="15"/>
      <c r="E16" s="15"/>
      <c r="F16" s="15"/>
      <c r="G16" s="15"/>
      <c r="H16" s="49"/>
      <c r="I16" s="49"/>
      <c r="J16" s="49"/>
      <c r="K16" s="50"/>
      <c r="L16" s="50"/>
      <c r="M16" s="15"/>
    </row>
    <row r="17" spans="1:13" ht="15.75">
      <c r="A17" s="282"/>
      <c r="B17" s="432"/>
      <c r="C17" s="526" t="s">
        <v>59</v>
      </c>
      <c r="D17" s="526"/>
      <c r="E17" s="526"/>
      <c r="F17" s="526"/>
      <c r="G17" s="526"/>
      <c r="H17" s="526"/>
      <c r="I17" s="526"/>
      <c r="J17" s="526"/>
      <c r="K17" s="526"/>
      <c r="L17" s="526"/>
      <c r="M17" s="15"/>
    </row>
    <row r="18" spans="1:13" ht="12.75">
      <c r="A18" s="82" t="s">
        <v>2208</v>
      </c>
      <c r="B18" s="399" t="s">
        <v>3506</v>
      </c>
      <c r="C18" s="83" t="s">
        <v>3776</v>
      </c>
      <c r="D18" s="17" t="s">
        <v>3509</v>
      </c>
      <c r="E18" s="84" t="s">
        <v>3510</v>
      </c>
      <c r="F18" s="17" t="s">
        <v>125</v>
      </c>
      <c r="G18" s="84" t="s">
        <v>3511</v>
      </c>
      <c r="H18" s="395" t="s">
        <v>131</v>
      </c>
      <c r="I18" s="393" t="s">
        <v>132</v>
      </c>
      <c r="J18" s="395" t="s">
        <v>63</v>
      </c>
      <c r="K18" s="87" t="s">
        <v>63</v>
      </c>
      <c r="L18" s="264" t="s">
        <v>3705</v>
      </c>
      <c r="M18" s="88" t="s">
        <v>3513</v>
      </c>
    </row>
    <row r="19" spans="1:13" ht="12.75">
      <c r="A19" s="82" t="s">
        <v>2208</v>
      </c>
      <c r="B19" s="399" t="s">
        <v>3526</v>
      </c>
      <c r="C19" s="94" t="s">
        <v>3766</v>
      </c>
      <c r="D19" s="19" t="s">
        <v>3664</v>
      </c>
      <c r="E19" s="98" t="s">
        <v>151</v>
      </c>
      <c r="F19" s="19" t="s">
        <v>125</v>
      </c>
      <c r="G19" s="98" t="s">
        <v>570</v>
      </c>
      <c r="H19" s="397" t="s">
        <v>303</v>
      </c>
      <c r="I19" s="394" t="s">
        <v>25</v>
      </c>
      <c r="J19" s="397" t="s">
        <v>446</v>
      </c>
      <c r="K19" s="100" t="s">
        <v>446</v>
      </c>
      <c r="L19" s="265" t="s">
        <v>3706</v>
      </c>
      <c r="M19" s="95" t="s">
        <v>1906</v>
      </c>
    </row>
    <row r="20" spans="1:13" ht="12.75">
      <c r="A20" s="82"/>
      <c r="B20" s="399"/>
      <c r="C20" s="15"/>
      <c r="D20" s="15"/>
      <c r="E20" s="15"/>
      <c r="F20" s="15"/>
      <c r="G20" s="15"/>
      <c r="H20" s="49"/>
      <c r="I20" s="49"/>
      <c r="J20" s="49"/>
      <c r="K20" s="50"/>
      <c r="L20" s="50"/>
      <c r="M20" s="15"/>
    </row>
    <row r="21" spans="1:13" ht="15.75">
      <c r="A21" s="282"/>
      <c r="B21" s="432"/>
      <c r="C21" s="508" t="s">
        <v>164</v>
      </c>
      <c r="D21" s="508"/>
      <c r="E21" s="508"/>
      <c r="F21" s="508"/>
      <c r="G21" s="508"/>
      <c r="H21" s="508"/>
      <c r="I21" s="508"/>
      <c r="J21" s="508"/>
      <c r="K21" s="508"/>
      <c r="L21" s="508"/>
      <c r="M21" s="15"/>
    </row>
    <row r="22" spans="1:13" ht="12.75">
      <c r="A22" s="82" t="s">
        <v>2208</v>
      </c>
      <c r="B22" s="399" t="s">
        <v>3506</v>
      </c>
      <c r="C22" s="20" t="s">
        <v>3777</v>
      </c>
      <c r="D22" s="210" t="s">
        <v>3668</v>
      </c>
      <c r="E22" s="210" t="s">
        <v>3298</v>
      </c>
      <c r="F22" s="210" t="s">
        <v>125</v>
      </c>
      <c r="G22" s="210" t="s">
        <v>1304</v>
      </c>
      <c r="H22" s="375">
        <v>165</v>
      </c>
      <c r="I22" s="375">
        <v>170</v>
      </c>
      <c r="J22" s="375">
        <v>175</v>
      </c>
      <c r="K22" s="200" t="s">
        <v>126</v>
      </c>
      <c r="L22" s="271" t="s">
        <v>3707</v>
      </c>
      <c r="M22" s="210" t="s">
        <v>3670</v>
      </c>
    </row>
    <row r="23" spans="1:14" ht="12.75">
      <c r="A23" s="82"/>
      <c r="B23" s="399"/>
      <c r="C23" s="15"/>
      <c r="D23" s="15"/>
      <c r="E23" s="15"/>
      <c r="F23" s="15"/>
      <c r="G23" s="15"/>
      <c r="H23" s="229"/>
      <c r="I23" s="229"/>
      <c r="J23" s="229"/>
      <c r="K23" s="50"/>
      <c r="L23" s="29"/>
      <c r="M23" s="229"/>
      <c r="N23" s="50"/>
    </row>
    <row r="24" spans="1:13" ht="15.75">
      <c r="A24" s="282"/>
      <c r="B24" s="432"/>
      <c r="C24" s="526" t="s">
        <v>227</v>
      </c>
      <c r="D24" s="526"/>
      <c r="E24" s="526"/>
      <c r="F24" s="526"/>
      <c r="G24" s="526"/>
      <c r="H24" s="526"/>
      <c r="I24" s="526"/>
      <c r="J24" s="526"/>
      <c r="K24" s="526"/>
      <c r="L24" s="526"/>
      <c r="M24" s="15"/>
    </row>
    <row r="25" spans="1:13" ht="12.75">
      <c r="A25" s="82" t="s">
        <v>2208</v>
      </c>
      <c r="B25" s="399" t="s">
        <v>3526</v>
      </c>
      <c r="C25" s="17" t="s">
        <v>3778</v>
      </c>
      <c r="D25" s="88" t="s">
        <v>3354</v>
      </c>
      <c r="E25" s="84" t="s">
        <v>726</v>
      </c>
      <c r="F25" s="17" t="s">
        <v>125</v>
      </c>
      <c r="G25" s="84" t="s">
        <v>1643</v>
      </c>
      <c r="H25" s="395" t="s">
        <v>551</v>
      </c>
      <c r="I25" s="393" t="s">
        <v>811</v>
      </c>
      <c r="J25" s="395" t="s">
        <v>132</v>
      </c>
      <c r="K25" s="87" t="s">
        <v>132</v>
      </c>
      <c r="L25" s="264" t="s">
        <v>3708</v>
      </c>
      <c r="M25" s="88" t="s">
        <v>1906</v>
      </c>
    </row>
    <row r="26" spans="1:13" ht="12.75">
      <c r="A26" s="82" t="s">
        <v>2208</v>
      </c>
      <c r="B26" s="399" t="s">
        <v>3526</v>
      </c>
      <c r="C26" s="19" t="s">
        <v>3778</v>
      </c>
      <c r="D26" s="95" t="s">
        <v>3363</v>
      </c>
      <c r="E26" s="98" t="s">
        <v>726</v>
      </c>
      <c r="F26" s="19" t="s">
        <v>125</v>
      </c>
      <c r="G26" s="98" t="s">
        <v>1643</v>
      </c>
      <c r="H26" s="397" t="s">
        <v>551</v>
      </c>
      <c r="I26" s="394" t="s">
        <v>811</v>
      </c>
      <c r="J26" s="397" t="s">
        <v>132</v>
      </c>
      <c r="K26" s="100" t="s">
        <v>132</v>
      </c>
      <c r="L26" s="265" t="s">
        <v>3708</v>
      </c>
      <c r="M26" s="95" t="s">
        <v>1906</v>
      </c>
    </row>
    <row r="27" spans="1:13" ht="12.75">
      <c r="A27" s="82"/>
      <c r="B27" s="399"/>
      <c r="C27" s="15"/>
      <c r="D27" s="15"/>
      <c r="E27" s="15"/>
      <c r="F27" s="15"/>
      <c r="G27" s="15"/>
      <c r="H27" s="49"/>
      <c r="I27" s="49"/>
      <c r="J27" s="49"/>
      <c r="K27" s="50"/>
      <c r="L27" s="50"/>
      <c r="M27" s="15"/>
    </row>
    <row r="28" spans="1:13" ht="18">
      <c r="A28" s="50"/>
      <c r="B28" s="402"/>
      <c r="C28" s="343" t="s">
        <v>370</v>
      </c>
      <c r="D28" s="343"/>
      <c r="E28" s="15"/>
      <c r="F28" s="15"/>
      <c r="G28" s="15"/>
      <c r="H28" s="49"/>
      <c r="I28" s="49"/>
      <c r="J28" s="49"/>
      <c r="K28" s="50"/>
      <c r="L28" s="50"/>
      <c r="M28" s="15"/>
    </row>
    <row r="29" spans="1:13" ht="18">
      <c r="A29" s="50"/>
      <c r="B29" s="402"/>
      <c r="C29" s="272" t="s">
        <v>387</v>
      </c>
      <c r="D29" s="16"/>
      <c r="E29" s="15"/>
      <c r="F29" s="15"/>
      <c r="G29" s="15"/>
      <c r="H29" s="49"/>
      <c r="I29" s="49"/>
      <c r="J29" s="49"/>
      <c r="K29" s="50"/>
      <c r="L29" s="50"/>
      <c r="M29" s="15"/>
    </row>
    <row r="30" spans="1:13" ht="12.75">
      <c r="A30" s="50"/>
      <c r="B30" s="402"/>
      <c r="C30" s="15"/>
      <c r="D30" s="15"/>
      <c r="E30" s="15"/>
      <c r="F30" s="15"/>
      <c r="G30" s="15"/>
      <c r="H30" s="49"/>
      <c r="I30" s="49"/>
      <c r="J30" s="49"/>
      <c r="K30" s="50"/>
      <c r="L30" s="50"/>
      <c r="M30" s="15"/>
    </row>
    <row r="31" spans="1:13" ht="13.5">
      <c r="A31" s="50"/>
      <c r="B31" s="402"/>
      <c r="C31" s="26" t="s">
        <v>373</v>
      </c>
      <c r="D31" s="181" t="s">
        <v>374</v>
      </c>
      <c r="E31" s="181" t="s">
        <v>3286</v>
      </c>
      <c r="F31" s="181" t="s">
        <v>377</v>
      </c>
      <c r="G31" s="15"/>
      <c r="H31" s="49"/>
      <c r="I31" s="49"/>
      <c r="J31" s="49"/>
      <c r="K31" s="50"/>
      <c r="L31" s="50"/>
      <c r="M31" s="15"/>
    </row>
    <row r="32" spans="1:13" ht="12.75">
      <c r="A32" s="50" t="s">
        <v>2208</v>
      </c>
      <c r="B32" s="402"/>
      <c r="C32" s="15" t="s">
        <v>3667</v>
      </c>
      <c r="D32" s="49" t="s">
        <v>3189</v>
      </c>
      <c r="E32" s="49" t="s">
        <v>3298</v>
      </c>
      <c r="F32" s="49" t="s">
        <v>3707</v>
      </c>
      <c r="G32" s="15"/>
      <c r="H32" s="49"/>
      <c r="I32" s="49"/>
      <c r="J32" s="49"/>
      <c r="K32" s="50"/>
      <c r="L32" s="50"/>
      <c r="M32" s="15"/>
    </row>
    <row r="33" spans="1:13" ht="12.75">
      <c r="A33" s="50" t="s">
        <v>2209</v>
      </c>
      <c r="B33" s="402"/>
      <c r="C33" s="15" t="s">
        <v>3508</v>
      </c>
      <c r="D33" s="49" t="s">
        <v>3189</v>
      </c>
      <c r="E33" s="49" t="s">
        <v>3510</v>
      </c>
      <c r="F33" s="49" t="s">
        <v>3705</v>
      </c>
      <c r="G33" s="15"/>
      <c r="H33" s="49"/>
      <c r="I33" s="49"/>
      <c r="J33" s="49"/>
      <c r="K33" s="50"/>
      <c r="L33" s="50"/>
      <c r="M33" s="15"/>
    </row>
    <row r="34" spans="1:13" ht="12.75">
      <c r="A34" s="50" t="s">
        <v>2210</v>
      </c>
      <c r="B34" s="402"/>
      <c r="C34" s="15" t="s">
        <v>3696</v>
      </c>
      <c r="D34" s="49" t="s">
        <v>3189</v>
      </c>
      <c r="E34" s="49" t="s">
        <v>3698</v>
      </c>
      <c r="F34" s="49" t="s">
        <v>3699</v>
      </c>
      <c r="G34" s="15"/>
      <c r="H34" s="49"/>
      <c r="I34" s="49"/>
      <c r="J34" s="49"/>
      <c r="K34" s="50"/>
      <c r="L34" s="50"/>
      <c r="M34" s="15"/>
    </row>
    <row r="35" spans="1:13" ht="12.75">
      <c r="A35" s="50"/>
      <c r="B35" s="402"/>
      <c r="C35" s="15"/>
      <c r="D35" s="49"/>
      <c r="E35" s="49"/>
      <c r="F35" s="49"/>
      <c r="G35" s="15"/>
      <c r="H35" s="49"/>
      <c r="I35" s="49"/>
      <c r="J35" s="49"/>
      <c r="K35" s="50"/>
      <c r="L35" s="50"/>
      <c r="M35" s="15"/>
    </row>
    <row r="36" spans="1:13" ht="12.75">
      <c r="A36" s="50"/>
      <c r="B36" s="402"/>
      <c r="C36" s="15"/>
      <c r="D36" s="49"/>
      <c r="E36" s="49"/>
      <c r="F36" s="49"/>
      <c r="G36" s="15"/>
      <c r="H36" s="49"/>
      <c r="I36" s="49"/>
      <c r="J36" s="49"/>
      <c r="K36" s="50"/>
      <c r="L36" s="50"/>
      <c r="M36" s="15"/>
    </row>
    <row r="37" spans="1:13" ht="13.5">
      <c r="A37" s="50"/>
      <c r="B37" s="402"/>
      <c r="C37" s="26" t="s">
        <v>373</v>
      </c>
      <c r="D37" s="181" t="s">
        <v>374</v>
      </c>
      <c r="E37" s="181" t="s">
        <v>3286</v>
      </c>
      <c r="F37" s="181" t="s">
        <v>377</v>
      </c>
      <c r="G37" s="15"/>
      <c r="H37" s="49"/>
      <c r="I37" s="49"/>
      <c r="J37" s="49"/>
      <c r="K37" s="50"/>
      <c r="L37" s="50"/>
      <c r="M37" s="15"/>
    </row>
    <row r="38" spans="1:13" ht="12.75">
      <c r="A38" s="50" t="s">
        <v>2208</v>
      </c>
      <c r="B38" s="402"/>
      <c r="C38" s="15" t="s">
        <v>2841</v>
      </c>
      <c r="D38" s="49" t="s">
        <v>3460</v>
      </c>
      <c r="E38" s="49" t="s">
        <v>726</v>
      </c>
      <c r="F38" s="49" t="s">
        <v>3708</v>
      </c>
      <c r="G38" s="15"/>
      <c r="H38" s="49"/>
      <c r="I38" s="49"/>
      <c r="J38" s="49"/>
      <c r="K38" s="50"/>
      <c r="L38" s="50"/>
      <c r="M38" s="15"/>
    </row>
    <row r="39" spans="1:13" ht="12.75">
      <c r="A39" s="50" t="s">
        <v>2209</v>
      </c>
      <c r="B39" s="402"/>
      <c r="C39" s="15" t="s">
        <v>3700</v>
      </c>
      <c r="D39" s="49" t="s">
        <v>3459</v>
      </c>
      <c r="E39" s="49" t="s">
        <v>3702</v>
      </c>
      <c r="F39" s="49" t="s">
        <v>3703</v>
      </c>
      <c r="G39" s="15"/>
      <c r="H39" s="49"/>
      <c r="I39" s="49"/>
      <c r="J39" s="49"/>
      <c r="K39" s="50"/>
      <c r="L39" s="50"/>
      <c r="M39" s="15"/>
    </row>
    <row r="40" spans="1:13" ht="12.75">
      <c r="A40" s="50" t="s">
        <v>2210</v>
      </c>
      <c r="B40" s="402"/>
      <c r="C40" s="15" t="s">
        <v>3663</v>
      </c>
      <c r="D40" s="49" t="s">
        <v>3460</v>
      </c>
      <c r="E40" s="49" t="s">
        <v>151</v>
      </c>
      <c r="F40" s="49" t="s">
        <v>3706</v>
      </c>
      <c r="G40" s="15"/>
      <c r="H40" s="49"/>
      <c r="I40" s="49"/>
      <c r="J40" s="49"/>
      <c r="K40" s="50"/>
      <c r="L40" s="50"/>
      <c r="M40" s="15"/>
    </row>
    <row r="41" spans="1:13" ht="12.75">
      <c r="A41" s="50"/>
      <c r="B41" s="402"/>
      <c r="C41" s="15"/>
      <c r="D41" s="15"/>
      <c r="E41" s="15"/>
      <c r="F41" s="15"/>
      <c r="G41" s="15"/>
      <c r="H41" s="49"/>
      <c r="I41" s="49"/>
      <c r="J41" s="49"/>
      <c r="K41" s="50"/>
      <c r="L41" s="50"/>
      <c r="M41" s="15"/>
    </row>
    <row r="42" spans="1:13" ht="12.75">
      <c r="A42" s="50"/>
      <c r="B42" s="402"/>
      <c r="C42" s="15"/>
      <c r="D42" s="15"/>
      <c r="E42" s="15"/>
      <c r="F42" s="15"/>
      <c r="G42" s="15"/>
      <c r="H42" s="49"/>
      <c r="I42" s="49"/>
      <c r="J42" s="49"/>
      <c r="K42" s="50"/>
      <c r="L42" s="50"/>
      <c r="M42" s="15"/>
    </row>
    <row r="43" spans="1:13" ht="12.75">
      <c r="A43" s="50"/>
      <c r="B43" s="402"/>
      <c r="C43" s="15"/>
      <c r="D43" s="15"/>
      <c r="E43" s="15"/>
      <c r="F43" s="15"/>
      <c r="G43" s="15"/>
      <c r="H43" s="49"/>
      <c r="I43" s="49"/>
      <c r="J43" s="49"/>
      <c r="K43" s="50"/>
      <c r="L43" s="50"/>
      <c r="M43" s="15"/>
    </row>
  </sheetData>
  <sheetProtection/>
  <mergeCells count="18">
    <mergeCell ref="L3:L4"/>
    <mergeCell ref="C24:L24"/>
    <mergeCell ref="M3:M4"/>
    <mergeCell ref="C6:L6"/>
    <mergeCell ref="C10:L10"/>
    <mergeCell ref="C13:L13"/>
    <mergeCell ref="C17:L17"/>
    <mergeCell ref="C21:L21"/>
    <mergeCell ref="B3:B4"/>
    <mergeCell ref="C1:M1"/>
    <mergeCell ref="C2:M2"/>
    <mergeCell ref="A3:A4"/>
    <mergeCell ref="C3:C4"/>
    <mergeCell ref="E3:E4"/>
    <mergeCell ref="F3:F4"/>
    <mergeCell ref="G3:G4"/>
    <mergeCell ref="H3:J3"/>
    <mergeCell ref="K3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2016-08-30T13:14:45Z</dcterms:modified>
  <cp:category/>
  <cp:version/>
  <cp:contentType/>
  <cp:contentStatus/>
</cp:coreProperties>
</file>