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80" yWindow="360" windowWidth="11340" windowHeight="9700" firstSheet="10" activeTab="10"/>
  </bookViews>
  <sheets>
    <sheet name="HUB" sheetId="1" r:id="rId1"/>
    <sheet name="Apollon Axle" sheetId="2" r:id="rId2"/>
    <sheet name="Rolling Thunder" sheetId="3" r:id="rId3"/>
    <sheet name="Пауэрспорт ДК" sheetId="4" r:id="rId4"/>
    <sheet name="Пауэрспорт" sheetId="5" r:id="rId5"/>
    <sheet name="Тяга в экипировке" sheetId="6" r:id="rId6"/>
    <sheet name="Тяга без экипировки ДК" sheetId="7" r:id="rId7"/>
    <sheet name="Тяга без экипировки" sheetId="8" r:id="rId8"/>
    <sheet name="Жимовое двоеборье" sheetId="9" r:id="rId9"/>
    <sheet name="Народный жим 1_2 ДК" sheetId="10" r:id="rId10"/>
    <sheet name="Народный жим ДК" sheetId="11" r:id="rId11"/>
    <sheet name="Народный жим" sheetId="12" r:id="rId12"/>
    <sheet name="Жим многослойный" sheetId="13" r:id="rId13"/>
    <sheet name="Жим однослойный ДК" sheetId="14" r:id="rId14"/>
    <sheet name="Жим однослойный" sheetId="15" r:id="rId15"/>
    <sheet name="Жим без экипировки ДК" sheetId="16" r:id="rId16"/>
    <sheet name="Жим без экипировки" sheetId="17" r:id="rId17"/>
    <sheet name="Присед в бинтах" sheetId="18" r:id="rId18"/>
    <sheet name="Присед без экипировки ДК" sheetId="19" r:id="rId19"/>
    <sheet name="Присед без экипировки" sheetId="20" r:id="rId20"/>
    <sheet name="Силовое двоеборье без экипы ДК" sheetId="21" r:id="rId21"/>
    <sheet name="Силовое двоеборье без экипы" sheetId="22" r:id="rId22"/>
    <sheet name="Пауэрлифтинг в бинтах ДК" sheetId="23" r:id="rId23"/>
    <sheet name="Пауэрлифтинг в бинтах" sheetId="24" r:id="rId24"/>
    <sheet name="Пауэрлифтинг без экипировки ДК" sheetId="25" r:id="rId25"/>
    <sheet name="Пауэрлифтинг без экипировки" sheetId="26" r:id="rId26"/>
    <sheet name="Судейская коллегия" sheetId="27" r:id="rId27"/>
    <sheet name="Командный зачет" sheetId="28" r:id="rId28"/>
  </sheets>
  <definedNames/>
  <calcPr fullCalcOnLoad="1" refMode="R1C1"/>
</workbook>
</file>

<file path=xl/sharedStrings.xml><?xml version="1.0" encoding="utf-8"?>
<sst xmlns="http://schemas.openxmlformats.org/spreadsheetml/2006/main" count="3083" uniqueCount="930">
  <si>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</si>
  <si>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</si>
  <si>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</si>
  <si>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</si>
  <si>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</si>
  <si>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</si>
  <si>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</si>
  <si>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</si>
  <si>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</si>
  <si>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Возрастная группа
Дата рождения /Возраст</t>
  </si>
  <si>
    <t>Собств. вес</t>
  </si>
  <si>
    <t>Wilks</t>
  </si>
  <si>
    <t>ВЕСОВАЯ КАТЕГОРИЯ   60</t>
  </si>
  <si>
    <t>Иванова Татьяна</t>
  </si>
  <si>
    <t>Juniors 20-23 (25.05.1993)/22</t>
  </si>
  <si>
    <t>56,10</t>
  </si>
  <si>
    <t xml:space="preserve">Лично </t>
  </si>
  <si>
    <t xml:space="preserve">Санкт-Петербург </t>
  </si>
  <si>
    <t>0,0</t>
  </si>
  <si>
    <t>40,0</t>
  </si>
  <si>
    <t>45,0</t>
  </si>
  <si>
    <t>50,0</t>
  </si>
  <si>
    <t>50.00</t>
  </si>
  <si>
    <t xml:space="preserve">Рыбаков Д.М. </t>
  </si>
  <si>
    <t>ВЕСОВАЯ КАТЕГОРИЯ   67.5</t>
  </si>
  <si>
    <t>Кулагина Анжела</t>
  </si>
  <si>
    <t>Open (04.11.1988)/26</t>
  </si>
  <si>
    <t>66,00</t>
  </si>
  <si>
    <t xml:space="preserve">Москва </t>
  </si>
  <si>
    <t>115,0</t>
  </si>
  <si>
    <t>120,0</t>
  </si>
  <si>
    <t>122,5</t>
  </si>
  <si>
    <t>120.00</t>
  </si>
  <si>
    <t xml:space="preserve">Иванов С.Н., Корнилов </t>
  </si>
  <si>
    <t>ВЕСОВАЯ КАТЕГОРИЯ   75</t>
  </si>
  <si>
    <t>Медведева Юлия</t>
  </si>
  <si>
    <t>Open (08.07.1979)/36</t>
  </si>
  <si>
    <t>75,00</t>
  </si>
  <si>
    <t>147,5</t>
  </si>
  <si>
    <t>147.50</t>
  </si>
  <si>
    <t xml:space="preserve">Самостоятельно </t>
  </si>
  <si>
    <t>Чернуха Алена</t>
  </si>
  <si>
    <t>Open (20.11.1984)/30</t>
  </si>
  <si>
    <t>73,50</t>
  </si>
  <si>
    <t>70,0</t>
  </si>
  <si>
    <t>75,0</t>
  </si>
  <si>
    <t>82,5</t>
  </si>
  <si>
    <t>75.00</t>
  </si>
  <si>
    <t>Данельянц Артем</t>
  </si>
  <si>
    <t>Juniors 20-23 (01.08.1993)/22</t>
  </si>
  <si>
    <t>66,70</t>
  </si>
  <si>
    <t>130,0</t>
  </si>
  <si>
    <t>137,5</t>
  </si>
  <si>
    <t>142,5</t>
  </si>
  <si>
    <t>142.50</t>
  </si>
  <si>
    <t>Емельянов Владислав</t>
  </si>
  <si>
    <t>Juniors 20-23 (27.03.1994)/21</t>
  </si>
  <si>
    <t>72,70</t>
  </si>
  <si>
    <t>155,0</t>
  </si>
  <si>
    <t>160,0</t>
  </si>
  <si>
    <t>155.00</t>
  </si>
  <si>
    <t xml:space="preserve">Заломае С.С. </t>
  </si>
  <si>
    <t>ВЕСОВАЯ КАТЕГОРИЯ   82.5</t>
  </si>
  <si>
    <t>Свиридов Олег</t>
  </si>
  <si>
    <t>Juniors 20-23 (10.08.1992)/23</t>
  </si>
  <si>
    <t>79,50</t>
  </si>
  <si>
    <t>152,5</t>
  </si>
  <si>
    <t>152.50</t>
  </si>
  <si>
    <t>Алимов Михаил</t>
  </si>
  <si>
    <t>Open (05.03.1987)/28</t>
  </si>
  <si>
    <t>79,10</t>
  </si>
  <si>
    <t xml:space="preserve">Санкт- Петербург </t>
  </si>
  <si>
    <t>185,0</t>
  </si>
  <si>
    <t>185.00</t>
  </si>
  <si>
    <t>Лаптев Олег</t>
  </si>
  <si>
    <t>Open (23.01.1980)/35</t>
  </si>
  <si>
    <t>80,80</t>
  </si>
  <si>
    <t xml:space="preserve">Сборная Кронштадта </t>
  </si>
  <si>
    <t>150,0</t>
  </si>
  <si>
    <t>Агафонов Илья</t>
  </si>
  <si>
    <t>Open (11.02.1988)/27</t>
  </si>
  <si>
    <t>80,70</t>
  </si>
  <si>
    <t>135,0</t>
  </si>
  <si>
    <t>135.00</t>
  </si>
  <si>
    <t xml:space="preserve">Агафонов И.А. </t>
  </si>
  <si>
    <t>ВЕСОВАЯ КАТЕГОРИЯ   90</t>
  </si>
  <si>
    <t>Павлов Виктор</t>
  </si>
  <si>
    <t>Juniors 20-23 (19.04.1993)/22</t>
  </si>
  <si>
    <t>87,70</t>
  </si>
  <si>
    <t>125,0</t>
  </si>
  <si>
    <t>130.00</t>
  </si>
  <si>
    <t xml:space="preserve">Бородий Владислав </t>
  </si>
  <si>
    <t>Титов Илья</t>
  </si>
  <si>
    <t>Open (22.07.1989)/26</t>
  </si>
  <si>
    <t>89,10</t>
  </si>
  <si>
    <t xml:space="preserve">Динамит </t>
  </si>
  <si>
    <t>132,5</t>
  </si>
  <si>
    <t xml:space="preserve">Таранухин Георгий </t>
  </si>
  <si>
    <t>Кукин Артем</t>
  </si>
  <si>
    <t>Open (22.07.1991)/24</t>
  </si>
  <si>
    <t>87,50</t>
  </si>
  <si>
    <t xml:space="preserve">Санкт Петербург </t>
  </si>
  <si>
    <t>100,0</t>
  </si>
  <si>
    <t>110,0</t>
  </si>
  <si>
    <t>110.00</t>
  </si>
  <si>
    <t>Серебренников Григорий</t>
  </si>
  <si>
    <t>Masters 40-44 (25.07.1973)/42</t>
  </si>
  <si>
    <t>88,00</t>
  </si>
  <si>
    <t>165,0</t>
  </si>
  <si>
    <t>180,0</t>
  </si>
  <si>
    <t>180.00</t>
  </si>
  <si>
    <t>Таранухин Георгий</t>
  </si>
  <si>
    <t>Masters 45-49 (19.01.1968)/47</t>
  </si>
  <si>
    <t>89,20</t>
  </si>
  <si>
    <t xml:space="preserve">Арена </t>
  </si>
  <si>
    <t>ВЕСОВАЯ КАТЕГОРИЯ   100</t>
  </si>
  <si>
    <t>Шевченко Руслан</t>
  </si>
  <si>
    <t>Juniors 20-23 (25.02.1995)/20</t>
  </si>
  <si>
    <t>98,50</t>
  </si>
  <si>
    <t>195,0</t>
  </si>
  <si>
    <t>205,0</t>
  </si>
  <si>
    <t>215,0</t>
  </si>
  <si>
    <t>205.00</t>
  </si>
  <si>
    <t>Open (12.05.1978)/37</t>
  </si>
  <si>
    <t>95,60</t>
  </si>
  <si>
    <t>170,0</t>
  </si>
  <si>
    <t>170.00</t>
  </si>
  <si>
    <t>Семенов Юрий</t>
  </si>
  <si>
    <t>Open (16.02.1986)/29</t>
  </si>
  <si>
    <t>100,00</t>
  </si>
  <si>
    <t>172,5</t>
  </si>
  <si>
    <t>165.00</t>
  </si>
  <si>
    <t>Masters 60-64 (14.05.1952)/63</t>
  </si>
  <si>
    <t>99,90</t>
  </si>
  <si>
    <t xml:space="preserve">Сборная Мурманской области </t>
  </si>
  <si>
    <t xml:space="preserve">Североморск/Мурманская область </t>
  </si>
  <si>
    <t>175,0</t>
  </si>
  <si>
    <t>182,5</t>
  </si>
  <si>
    <t>ВЕСОВАЯ КАТЕГОРИЯ   110</t>
  </si>
  <si>
    <t>Кушин Игорь</t>
  </si>
  <si>
    <t>Open (30.01.1966)/49</t>
  </si>
  <si>
    <t>108,60</t>
  </si>
  <si>
    <t xml:space="preserve">Выборг/Ленинградская область </t>
  </si>
  <si>
    <t>220,0</t>
  </si>
  <si>
    <t>230,0</t>
  </si>
  <si>
    <t>235,0</t>
  </si>
  <si>
    <t>235.00</t>
  </si>
  <si>
    <t>Open (27.04.1976)/39</t>
  </si>
  <si>
    <t>107,10</t>
  </si>
  <si>
    <t>192,5</t>
  </si>
  <si>
    <t>192.50</t>
  </si>
  <si>
    <t>Ягодин Николай</t>
  </si>
  <si>
    <t>Open (07.10.1988)/26</t>
  </si>
  <si>
    <t>167,5</t>
  </si>
  <si>
    <t>172.50</t>
  </si>
  <si>
    <t>Солнцев Иван</t>
  </si>
  <si>
    <t>Open (25.03.1974)/41</t>
  </si>
  <si>
    <t>100,40</t>
  </si>
  <si>
    <t>Masters 40-44 (25.03.1974)/41</t>
  </si>
  <si>
    <t>Masters 45-49 (30.01.1966)/49</t>
  </si>
  <si>
    <t>Masters 55-59 (27.09.1959)/55</t>
  </si>
  <si>
    <t>105,60</t>
  </si>
  <si>
    <t>175.00</t>
  </si>
  <si>
    <t>ВЕСОВАЯ КАТЕГОРИЯ   125</t>
  </si>
  <si>
    <t>Педченко Александр</t>
  </si>
  <si>
    <t>Juniors 20-23 (04.08.1992)/23</t>
  </si>
  <si>
    <t>112,90</t>
  </si>
  <si>
    <t>210,0</t>
  </si>
  <si>
    <t>225,0</t>
  </si>
  <si>
    <t>220.00</t>
  </si>
  <si>
    <t xml:space="preserve">Тимофеев Олег </t>
  </si>
  <si>
    <t>Карабак Денис</t>
  </si>
  <si>
    <t>Open (12.09.1982)/33</t>
  </si>
  <si>
    <t>114,50</t>
  </si>
  <si>
    <t>190,0</t>
  </si>
  <si>
    <t>200,0</t>
  </si>
  <si>
    <t>200.00</t>
  </si>
  <si>
    <t xml:space="preserve">Длужневский С.С </t>
  </si>
  <si>
    <t>ВЕСОВАЯ КАТЕГОРИЯ   140+</t>
  </si>
  <si>
    <t>Алексеев Дмитрий</t>
  </si>
  <si>
    <t>Open (15.07.1981)/34</t>
  </si>
  <si>
    <t>149,80</t>
  </si>
  <si>
    <t>195.00</t>
  </si>
  <si>
    <t xml:space="preserve">Абсолютный зачёт </t>
  </si>
  <si>
    <t xml:space="preserve">Женщины </t>
  </si>
  <si>
    <t xml:space="preserve">Юниоры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</si>
  <si>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</si>
  <si>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</si>
  <si>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</si>
  <si>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</si>
  <si>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</si>
  <si>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Юниоры 20 - 23 </t>
  </si>
  <si>
    <t xml:space="preserve">Открытая </t>
  </si>
  <si>
    <t xml:space="preserve">75 </t>
  </si>
  <si>
    <t xml:space="preserve">67.5 </t>
  </si>
  <si>
    <t xml:space="preserve">Мужчины </t>
  </si>
  <si>
    <t xml:space="preserve">125 </t>
  </si>
  <si>
    <t>128,4800</t>
  </si>
  <si>
    <t xml:space="preserve">100 </t>
  </si>
  <si>
    <t>125,5215</t>
  </si>
  <si>
    <t>112,9175</t>
  </si>
  <si>
    <t xml:space="preserve">82.5 </t>
  </si>
  <si>
    <t xml:space="preserve">90 </t>
  </si>
  <si>
    <t xml:space="preserve">110 </t>
  </si>
  <si>
    <t>138,8615</t>
  </si>
  <si>
    <t>127,2060</t>
  </si>
  <si>
    <t>116,3400</t>
  </si>
  <si>
    <t>ВЕСОВАЯ КАТЕГОРИЯ   48</t>
  </si>
  <si>
    <t>Сергеева Дарья</t>
  </si>
  <si>
    <t>Juniors 20-23 (20.03.1992)/23</t>
  </si>
  <si>
    <t>47,00</t>
  </si>
  <si>
    <t>52,5</t>
  </si>
  <si>
    <t xml:space="preserve">Федоров Станислав </t>
  </si>
  <si>
    <t>Шушкова Елена</t>
  </si>
  <si>
    <t>Open (02.04.1989)/26</t>
  </si>
  <si>
    <t>47,80</t>
  </si>
  <si>
    <t xml:space="preserve">Вегетарианская сила </t>
  </si>
  <si>
    <t xml:space="preserve">Смирнов Олег </t>
  </si>
  <si>
    <t>ВЕСОВАЯ КАТЕГОРИЯ   56</t>
  </si>
  <si>
    <t>Короткова Полина</t>
  </si>
  <si>
    <t>Open (26.03.1987)/28</t>
  </si>
  <si>
    <t>55,20</t>
  </si>
  <si>
    <t>Харчук Ирина</t>
  </si>
  <si>
    <t>Open (18.02.1983)/32</t>
  </si>
  <si>
    <t>59,90</t>
  </si>
  <si>
    <t>55,0</t>
  </si>
  <si>
    <t xml:space="preserve">Скворцов Михаил </t>
  </si>
  <si>
    <t>Швецова Анастасия</t>
  </si>
  <si>
    <t>Open (22.04.1986)/29</t>
  </si>
  <si>
    <t>77,20</t>
  </si>
  <si>
    <t>ВЕСОВАЯ КАТЕГОРИЯ   52</t>
  </si>
  <si>
    <t>Никитинский Иван</t>
  </si>
  <si>
    <t>Teenage 15-19 (11.02.2001)/14</t>
  </si>
  <si>
    <t>34,00</t>
  </si>
  <si>
    <t>20,0</t>
  </si>
  <si>
    <t>22,5</t>
  </si>
  <si>
    <t>24,0</t>
  </si>
  <si>
    <t xml:space="preserve">Никитинский А.В. </t>
  </si>
  <si>
    <t>Морозов Сергей</t>
  </si>
  <si>
    <t>Teenage 15-19 (23.02.1999)/16</t>
  </si>
  <si>
    <t>58,70</t>
  </si>
  <si>
    <t>112,5</t>
  </si>
  <si>
    <t>117,5</t>
  </si>
  <si>
    <t xml:space="preserve">Заломаев С.С. </t>
  </si>
  <si>
    <t>Open (23.02.1999)/16</t>
  </si>
  <si>
    <t>Барышников Валерий</t>
  </si>
  <si>
    <t>Open (29.11.1986)/28</t>
  </si>
  <si>
    <t>60,00</t>
  </si>
  <si>
    <t>105,0</t>
  </si>
  <si>
    <t>Песков Вадим</t>
  </si>
  <si>
    <t>Juniors 20-23 (29.06.1992)/23</t>
  </si>
  <si>
    <t>65,80</t>
  </si>
  <si>
    <t xml:space="preserve">Самара/Самарская область </t>
  </si>
  <si>
    <t>145,0</t>
  </si>
  <si>
    <t>Open (29.06.1992)/23</t>
  </si>
  <si>
    <t>Лях Иван</t>
  </si>
  <si>
    <t>Teenage 15-19 (28.03.1996)/19</t>
  </si>
  <si>
    <t>74,80</t>
  </si>
  <si>
    <t>127,5</t>
  </si>
  <si>
    <t xml:space="preserve">Фадеев А.С. </t>
  </si>
  <si>
    <t>Чальцев Николай</t>
  </si>
  <si>
    <t>Juniors 20-23 (20.02.1994)/21</t>
  </si>
  <si>
    <t>71,20</t>
  </si>
  <si>
    <t xml:space="preserve">Фадеев А.С </t>
  </si>
  <si>
    <t>Шелков Михаил</t>
  </si>
  <si>
    <t>Juniors 20-23 (29.11.1992)/22</t>
  </si>
  <si>
    <t>Новиков Алексей</t>
  </si>
  <si>
    <t>Juniors 20-23 (09.09.1995)/20</t>
  </si>
  <si>
    <t>72,40</t>
  </si>
  <si>
    <t>Рузаев Максим</t>
  </si>
  <si>
    <t>Juniors 20-23 (29.04.1993)/22</t>
  </si>
  <si>
    <t>80,60</t>
  </si>
  <si>
    <t xml:space="preserve">Фадеев Александр </t>
  </si>
  <si>
    <t>Мамадов Парвиз</t>
  </si>
  <si>
    <t>Open (13.03.1981)/34</t>
  </si>
  <si>
    <t>80,20</t>
  </si>
  <si>
    <t>Литвиненко Юрий</t>
  </si>
  <si>
    <t>Open (24.08.1989)/26</t>
  </si>
  <si>
    <t>Сорокин Евгений</t>
  </si>
  <si>
    <t>Open (11.02.1977)/38</t>
  </si>
  <si>
    <t>81,10</t>
  </si>
  <si>
    <t xml:space="preserve">Мурманск/Мурманская область </t>
  </si>
  <si>
    <t>140,0</t>
  </si>
  <si>
    <t xml:space="preserve">Кузеев Дамир </t>
  </si>
  <si>
    <t>Open (14.10.1984)/30</t>
  </si>
  <si>
    <t>88,90</t>
  </si>
  <si>
    <t>162,5</t>
  </si>
  <si>
    <t xml:space="preserve">самостоятельно </t>
  </si>
  <si>
    <t>Open (22.01.1977)/38</t>
  </si>
  <si>
    <t>88,80</t>
  </si>
  <si>
    <t>Open (31.07.1986)/29</t>
  </si>
  <si>
    <t>89,40</t>
  </si>
  <si>
    <t>Open (29.10.1989)/25</t>
  </si>
  <si>
    <t>89,00</t>
  </si>
  <si>
    <t>Кожин Борис</t>
  </si>
  <si>
    <t>Masters 55-59 (03.05.1960)/55</t>
  </si>
  <si>
    <t>88,50</t>
  </si>
  <si>
    <t>Juniors 20-23 (01.05.1995)/20</t>
  </si>
  <si>
    <t>94,90</t>
  </si>
  <si>
    <t>Крейнис Павел</t>
  </si>
  <si>
    <t>Open (10.08.1988)/27</t>
  </si>
  <si>
    <t>95,30</t>
  </si>
  <si>
    <t xml:space="preserve">Минск/Минская </t>
  </si>
  <si>
    <t>Open (24.01.1987)/28</t>
  </si>
  <si>
    <t xml:space="preserve">Химки/Московская область </t>
  </si>
  <si>
    <t xml:space="preserve">Курков Алексей </t>
  </si>
  <si>
    <t>Open (18.02.1980)/35</t>
  </si>
  <si>
    <t>98,90</t>
  </si>
  <si>
    <t>Open (11.02.1980)/35</t>
  </si>
  <si>
    <t>98,80</t>
  </si>
  <si>
    <t xml:space="preserve">РООСФиС </t>
  </si>
  <si>
    <t xml:space="preserve">Горохов </t>
  </si>
  <si>
    <t>Open (25.04.1980)/35</t>
  </si>
  <si>
    <t>92,00</t>
  </si>
  <si>
    <t>Open (04.03.1991)/24</t>
  </si>
  <si>
    <t>Open (29.08.1984)/31</t>
  </si>
  <si>
    <t>93,30</t>
  </si>
  <si>
    <t xml:space="preserve">Головинский Дмитрий </t>
  </si>
  <si>
    <t>Open (24.11.1982)/32</t>
  </si>
  <si>
    <t>106,40</t>
  </si>
  <si>
    <t>104,70</t>
  </si>
  <si>
    <t>157,5</t>
  </si>
  <si>
    <t xml:space="preserve">Грахов Ю.П. </t>
  </si>
  <si>
    <t>Open (02.07.1976)/39</t>
  </si>
  <si>
    <t>107,50</t>
  </si>
  <si>
    <t xml:space="preserve">Таранухин Г.Ю. </t>
  </si>
  <si>
    <t>Петров Андрей</t>
  </si>
  <si>
    <t>Open (29.01.1983)/32</t>
  </si>
  <si>
    <t>109,30</t>
  </si>
  <si>
    <t>187,5</t>
  </si>
  <si>
    <t>Золотов Анатолий</t>
  </si>
  <si>
    <t>Open (13.04.1972)/43</t>
  </si>
  <si>
    <t>118,30</t>
  </si>
  <si>
    <t>202,5</t>
  </si>
  <si>
    <t>207,5</t>
  </si>
  <si>
    <t>Open (14.08.1977)/38</t>
  </si>
  <si>
    <t>123,50</t>
  </si>
  <si>
    <t>177,5</t>
  </si>
  <si>
    <t xml:space="preserve">Кузаев Дамир </t>
  </si>
  <si>
    <t xml:space="preserve">56 </t>
  </si>
  <si>
    <t>118,0800</t>
  </si>
  <si>
    <t>121,1145</t>
  </si>
  <si>
    <t>116,8223</t>
  </si>
  <si>
    <t>Open (04.08.1979)/36</t>
  </si>
  <si>
    <t>89,80</t>
  </si>
  <si>
    <t xml:space="preserve">Длужневского </t>
  </si>
  <si>
    <t>236,0</t>
  </si>
  <si>
    <t xml:space="preserve">Морозов Ф. </t>
  </si>
  <si>
    <t>240,0</t>
  </si>
  <si>
    <t>Open (03.07.1990)/25</t>
  </si>
  <si>
    <t>88,30</t>
  </si>
  <si>
    <t>Бордий Владислав</t>
  </si>
  <si>
    <t>Open (07.11.1982)/32</t>
  </si>
  <si>
    <t>99,60</t>
  </si>
  <si>
    <t>Михайлова Ольга</t>
  </si>
  <si>
    <t>Open (14.12.1971)/43</t>
  </si>
  <si>
    <t>55,70</t>
  </si>
  <si>
    <t>65,0</t>
  </si>
  <si>
    <t>72,5</t>
  </si>
  <si>
    <t>Демкив Наталия</t>
  </si>
  <si>
    <t>Open (26.07.1982)/33</t>
  </si>
  <si>
    <t>58,50</t>
  </si>
  <si>
    <t>97,5</t>
  </si>
  <si>
    <t>107,5</t>
  </si>
  <si>
    <t>62,5</t>
  </si>
  <si>
    <t>67,5</t>
  </si>
  <si>
    <t>102,5</t>
  </si>
  <si>
    <t>Урусова Гюзель</t>
  </si>
  <si>
    <t>Open (15.09.1984)/31</t>
  </si>
  <si>
    <t>77,5</t>
  </si>
  <si>
    <t>32,5</t>
  </si>
  <si>
    <t>37,5</t>
  </si>
  <si>
    <t>90,0</t>
  </si>
  <si>
    <t>Старунь Инна</t>
  </si>
  <si>
    <t>Open (19.11.1989)/25</t>
  </si>
  <si>
    <t>80,0</t>
  </si>
  <si>
    <t>Ивачева Светлана</t>
  </si>
  <si>
    <t>Open (26.07.1985)/30</t>
  </si>
  <si>
    <t>64,70</t>
  </si>
  <si>
    <t xml:space="preserve">Д-атлетик </t>
  </si>
  <si>
    <t xml:space="preserve">Ивачев Александр </t>
  </si>
  <si>
    <t>Дога Виктория</t>
  </si>
  <si>
    <t>Open (04.09.1982)/33</t>
  </si>
  <si>
    <t>85,0</t>
  </si>
  <si>
    <t>Хованов Иван</t>
  </si>
  <si>
    <t>Teenage 15-19 (25.04.2000)/15</t>
  </si>
  <si>
    <t>Бурундуков Дмитрий</t>
  </si>
  <si>
    <t>Teenage 15-19 (03.09.1997)/18</t>
  </si>
  <si>
    <t>82,50</t>
  </si>
  <si>
    <t>222,5</t>
  </si>
  <si>
    <t>245,0</t>
  </si>
  <si>
    <t>250,0</t>
  </si>
  <si>
    <t xml:space="preserve">Петров Всеволод </t>
  </si>
  <si>
    <t>Ростун Владимир</t>
  </si>
  <si>
    <t>Open (11.12.1981)/33</t>
  </si>
  <si>
    <t>81,80</t>
  </si>
  <si>
    <t>227,5</t>
  </si>
  <si>
    <t>242,5</t>
  </si>
  <si>
    <t>252,5</t>
  </si>
  <si>
    <t>272,5</t>
  </si>
  <si>
    <t>290,0</t>
  </si>
  <si>
    <t>305,0</t>
  </si>
  <si>
    <t>Михайлов Александр</t>
  </si>
  <si>
    <t>Masters 55-59 (11.02.1959)/56</t>
  </si>
  <si>
    <t>81,90</t>
  </si>
  <si>
    <t>Кобелев Павел</t>
  </si>
  <si>
    <t>Open (04.08.1989)/26</t>
  </si>
  <si>
    <t>280,0</t>
  </si>
  <si>
    <t>300,0</t>
  </si>
  <si>
    <t>Холяпин Сергей</t>
  </si>
  <si>
    <t>Open (14.02.1975)/40</t>
  </si>
  <si>
    <t>90,00</t>
  </si>
  <si>
    <t>Тукмаков Михаил</t>
  </si>
  <si>
    <t>Open (04.02.1990)/25</t>
  </si>
  <si>
    <t>86,40</t>
  </si>
  <si>
    <t>212,5</t>
  </si>
  <si>
    <t>Беляев Владимир</t>
  </si>
  <si>
    <t>Open (31.10.1981)/33</t>
  </si>
  <si>
    <t xml:space="preserve">ЦВР </t>
  </si>
  <si>
    <t xml:space="preserve">Михайлова Ольга </t>
  </si>
  <si>
    <t>Новиков Сергей</t>
  </si>
  <si>
    <t>Open (26.10.1987)/27</t>
  </si>
  <si>
    <t>237,5</t>
  </si>
  <si>
    <t>Masters 40-44 (14.02.1975)/40</t>
  </si>
  <si>
    <t>Панкратьев Александр</t>
  </si>
  <si>
    <t>Open (19.08.1987)/28</t>
  </si>
  <si>
    <t>265,0</t>
  </si>
  <si>
    <t>217,5</t>
  </si>
  <si>
    <t>320,0</t>
  </si>
  <si>
    <t>327,5</t>
  </si>
  <si>
    <t>Бельцов Артур</t>
  </si>
  <si>
    <t>Open (04.03.1982)/33</t>
  </si>
  <si>
    <t>95,70</t>
  </si>
  <si>
    <t>255,0</t>
  </si>
  <si>
    <t>270,0</t>
  </si>
  <si>
    <t>Open (19.11.1986)/28</t>
  </si>
  <si>
    <t>232,5</t>
  </si>
  <si>
    <t>260,0</t>
  </si>
  <si>
    <t>275,0</t>
  </si>
  <si>
    <t>Open (24.08.1977)/38</t>
  </si>
  <si>
    <t>99,70</t>
  </si>
  <si>
    <t xml:space="preserve">Великий Устюг </t>
  </si>
  <si>
    <t xml:space="preserve">Великий Устюг/Вологодская область </t>
  </si>
  <si>
    <t>Open (21.02.1988)/27</t>
  </si>
  <si>
    <t>98,40</t>
  </si>
  <si>
    <t>Open (28.02.1980)/35</t>
  </si>
  <si>
    <t>109,40</t>
  </si>
  <si>
    <t>267,5</t>
  </si>
  <si>
    <t>262,5</t>
  </si>
  <si>
    <t>Пендер Алексей</t>
  </si>
  <si>
    <t>Open (17.08.1985)/30</t>
  </si>
  <si>
    <t>109,10</t>
  </si>
  <si>
    <t>Masters 40-44 (17.08.1985)/30</t>
  </si>
  <si>
    <t>Open (04.10.1987)/27</t>
  </si>
  <si>
    <t>119,50</t>
  </si>
  <si>
    <t>Николаев Илья</t>
  </si>
  <si>
    <t>Masters 40-44 (24.07.1975)/40</t>
  </si>
  <si>
    <t>145,20</t>
  </si>
  <si>
    <t>360,0</t>
  </si>
  <si>
    <t>425,3760</t>
  </si>
  <si>
    <t>372,5</t>
  </si>
  <si>
    <t>386,4315</t>
  </si>
  <si>
    <t>367,5</t>
  </si>
  <si>
    <t>349,3455</t>
  </si>
  <si>
    <t>817,5</t>
  </si>
  <si>
    <t>500,5552</t>
  </si>
  <si>
    <t>742,5</t>
  </si>
  <si>
    <t>499,9995</t>
  </si>
  <si>
    <t>750,0</t>
  </si>
  <si>
    <t>465,0000</t>
  </si>
  <si>
    <t>Open (25.07.1989)/26</t>
  </si>
  <si>
    <t>52,00</t>
  </si>
  <si>
    <t>87,5</t>
  </si>
  <si>
    <t>92,5</t>
  </si>
  <si>
    <t xml:space="preserve">Кожин Борис </t>
  </si>
  <si>
    <t>Open (11.05.1990)/25</t>
  </si>
  <si>
    <t>52,50</t>
  </si>
  <si>
    <t>30,0</t>
  </si>
  <si>
    <t>35,0</t>
  </si>
  <si>
    <t>95,0</t>
  </si>
  <si>
    <t>Рыжова Марина</t>
  </si>
  <si>
    <t>Open (20.03.1988)/27</t>
  </si>
  <si>
    <t>63,80</t>
  </si>
  <si>
    <t>60,0</t>
  </si>
  <si>
    <t>42,5</t>
  </si>
  <si>
    <t xml:space="preserve">Серебренников Г.Ю. </t>
  </si>
  <si>
    <t>Шевалдова Марина</t>
  </si>
  <si>
    <t>Open (15.10.1985)/29</t>
  </si>
  <si>
    <t>70,30</t>
  </si>
  <si>
    <t>47,5</t>
  </si>
  <si>
    <t>Juniors 20-23 (22.07.1992)/23</t>
  </si>
  <si>
    <t>70,70</t>
  </si>
  <si>
    <t>Open (22.01.1985)/30</t>
  </si>
  <si>
    <t>72,20</t>
  </si>
  <si>
    <t>Teenage 15-19 (05.08.1999)/16</t>
  </si>
  <si>
    <t>75,30</t>
  </si>
  <si>
    <t xml:space="preserve">Одинаев А.Х. </t>
  </si>
  <si>
    <t>Open (26.05.1982)/33</t>
  </si>
  <si>
    <t>82,00</t>
  </si>
  <si>
    <t>Open (19.03.1991)/24</t>
  </si>
  <si>
    <t>Open (27.10.1979)/35</t>
  </si>
  <si>
    <t>99,10</t>
  </si>
  <si>
    <t>Open (19.02.1985)/30</t>
  </si>
  <si>
    <t>65,20</t>
  </si>
  <si>
    <t>Open (29.06.1988)/27</t>
  </si>
  <si>
    <t xml:space="preserve">Грязовец/Вологодская область </t>
  </si>
  <si>
    <t>Open (25.02.1981)/34</t>
  </si>
  <si>
    <t>99,50</t>
  </si>
  <si>
    <t>Золотаренок Андрей</t>
  </si>
  <si>
    <t>Open (23.11.1978)/36</t>
  </si>
  <si>
    <t>104,90</t>
  </si>
  <si>
    <t>Open (01.10.1986)/28</t>
  </si>
  <si>
    <t>59,60</t>
  </si>
  <si>
    <t xml:space="preserve">Васильев Алексей </t>
  </si>
  <si>
    <t>Masters 40-44 (08.02.1974)/41</t>
  </si>
  <si>
    <t>Старкин Сергей</t>
  </si>
  <si>
    <t>Open (19.09.1983)/32</t>
  </si>
  <si>
    <t>82,40</t>
  </si>
  <si>
    <t xml:space="preserve">Бедоидзе Николай </t>
  </si>
  <si>
    <t>263,0</t>
  </si>
  <si>
    <t>Мамедяров Артур</t>
  </si>
  <si>
    <t>Open (20.08.1991)/24</t>
  </si>
  <si>
    <t>92,80</t>
  </si>
  <si>
    <t xml:space="preserve">Team Bregan </t>
  </si>
  <si>
    <t xml:space="preserve">Отрадное/Ленинградская область </t>
  </si>
  <si>
    <t>285,0</t>
  </si>
  <si>
    <t>315,0</t>
  </si>
  <si>
    <t>322,5</t>
  </si>
  <si>
    <t>Васев Александр</t>
  </si>
  <si>
    <t>Open (26.04.1991)/24</t>
  </si>
  <si>
    <t>105,80</t>
  </si>
  <si>
    <t>340,0</t>
  </si>
  <si>
    <t>350,0</t>
  </si>
  <si>
    <t xml:space="preserve">Клюшев Александр </t>
  </si>
  <si>
    <t>Open (01.09.1977)/38</t>
  </si>
  <si>
    <t>101,40</t>
  </si>
  <si>
    <t>208,6000</t>
  </si>
  <si>
    <t>202,7880</t>
  </si>
  <si>
    <t>193,2000</t>
  </si>
  <si>
    <t>Juniors 20-23 (25.01.1994)/21</t>
  </si>
  <si>
    <t xml:space="preserve">Мамедяров Артур </t>
  </si>
  <si>
    <t>Open (02.04.1984)/31</t>
  </si>
  <si>
    <t>70,60</t>
  </si>
  <si>
    <t>Teenage 15-19 (24.01.1997)/18</t>
  </si>
  <si>
    <t>66,50</t>
  </si>
  <si>
    <t xml:space="preserve">Медведева Ю.И </t>
  </si>
  <si>
    <t>Open (16.05.1986)/29</t>
  </si>
  <si>
    <t>67,20</t>
  </si>
  <si>
    <t xml:space="preserve">Череповец/Вологодская область </t>
  </si>
  <si>
    <t>Teenage 15-19 (26.03.1996)/19</t>
  </si>
  <si>
    <t>78,50</t>
  </si>
  <si>
    <t>Шипилов Евгений</t>
  </si>
  <si>
    <t>Juniors 20-23 (22.10.1991)/23</t>
  </si>
  <si>
    <t>Open (11.09.1982)/33</t>
  </si>
  <si>
    <t>89,90</t>
  </si>
  <si>
    <t>247,5</t>
  </si>
  <si>
    <t>Open (17.01.1989)/26</t>
  </si>
  <si>
    <t>119,80</t>
  </si>
  <si>
    <t xml:space="preserve">Ярославль/Ярославская область </t>
  </si>
  <si>
    <t xml:space="preserve">Прокофьев Вячеслав </t>
  </si>
  <si>
    <t>Чемпионат России IPL Присед в бинтах
19 - 20 сентября 2015 г.</t>
  </si>
  <si>
    <t>Место</t>
  </si>
  <si>
    <t>1</t>
  </si>
  <si>
    <t>Чемпионат России IPL Присед без экипировки ДК
19 - 20 сентября 2015 г.</t>
  </si>
  <si>
    <t>Чемпионат России IPL Присед без экипировки
19 - 20 сентября 2015 г.</t>
  </si>
  <si>
    <t>Чемпионат России IPL Силовое двоеборье без экипировки ДК
19 - 20 сентября 2015 г.</t>
  </si>
  <si>
    <t>Чемпионат России IPL Силовое двоеборье без экипировки
19 - 20 сентября 2015 г.</t>
  </si>
  <si>
    <t>Результат</t>
  </si>
  <si>
    <t>Чемпионат России IPL Становая тяга в экипировке
19 - 20 сентября 2015 г.</t>
  </si>
  <si>
    <t>Чемпионат России IPL Становая тяга без экипировки ДК
19 - 20 сентября 2015 г.</t>
  </si>
  <si>
    <t>2</t>
  </si>
  <si>
    <t>0</t>
  </si>
  <si>
    <t>3</t>
  </si>
  <si>
    <t>Чемпионат России IPL Становая тяга без экипировки
19 - 20 сентября 2015 г.</t>
  </si>
  <si>
    <t>Чемпионат России IPL Пауэрлифтинг в бинтах ДК
19 - 20 сентября 2015 г.</t>
  </si>
  <si>
    <t>Чемпионат России IPL Пауэрлифтинг в бинтах
19 - 20 сентября 2015 г.</t>
  </si>
  <si>
    <t>Чемпионат России IPL Пауэрлифтинг без экипировки ДК
19 - 20 сентября 2015 г.</t>
  </si>
  <si>
    <t>Чемпионат России IPL Пауэрлифтинг без экипировки
19 - 20 сентября 2015 г.</t>
  </si>
  <si>
    <t>Чемпионат России IPL Жим лежа в многослойной экипировке
19 - 20 сентября 2015 г.</t>
  </si>
  <si>
    <t>Чемпионат России IPL Жим лежа в однослойной экипировке ДК
19 - 20 сентября 2015 г.</t>
  </si>
  <si>
    <t xml:space="preserve">Чемпионат России IPL Жим лежа в однослойной экипировке
19 - 20 сентября 2015 г. </t>
  </si>
  <si>
    <t>Чемпионат России IPL Жим лежа без экипировки ДК
19 - 20 сентября 2015 г.</t>
  </si>
  <si>
    <t>Чемпионат России IPL Жим лежа без экипировки
19 - 20 сентября 2015 г.</t>
  </si>
  <si>
    <t>Город/область</t>
  </si>
  <si>
    <t xml:space="preserve">Никитин Илья </t>
  </si>
  <si>
    <t xml:space="preserve">Пичугин Роман </t>
  </si>
  <si>
    <t xml:space="preserve">Ягодин Николай  </t>
  </si>
  <si>
    <t xml:space="preserve">Писаренко Александр </t>
  </si>
  <si>
    <t xml:space="preserve">Кушин Игорь  </t>
  </si>
  <si>
    <t>Новосибирск/Новосибирская область</t>
  </si>
  <si>
    <t xml:space="preserve">Великие Луки/Псковская область </t>
  </si>
  <si>
    <t xml:space="preserve">Кронштадт/Ленинградская область </t>
  </si>
  <si>
    <t>Петергоф/Ленинградская область</t>
  </si>
  <si>
    <t xml:space="preserve">Псков/Псковская область </t>
  </si>
  <si>
    <t xml:space="preserve">Пермь/Пермский край </t>
  </si>
  <si>
    <t>Стеценко Д.Н.</t>
  </si>
  <si>
    <t>Бородии Владислав</t>
  </si>
  <si>
    <t xml:space="preserve">Зеленогорск/Ленинградская область </t>
  </si>
  <si>
    <t xml:space="preserve">Сосновый бор/Ленинградская область </t>
  </si>
  <si>
    <t>4</t>
  </si>
  <si>
    <t>5</t>
  </si>
  <si>
    <t>6</t>
  </si>
  <si>
    <t>7</t>
  </si>
  <si>
    <t xml:space="preserve">Волов Павел </t>
  </si>
  <si>
    <t xml:space="preserve">Ляшенко Александр  </t>
  </si>
  <si>
    <t xml:space="preserve">Зернов Артем  </t>
  </si>
  <si>
    <t xml:space="preserve">Зуев Андрей </t>
  </si>
  <si>
    <t xml:space="preserve">Кожин Борис  </t>
  </si>
  <si>
    <t xml:space="preserve">Приеде Андрей </t>
  </si>
  <si>
    <t xml:space="preserve">Крейнис Павел </t>
  </si>
  <si>
    <t xml:space="preserve">Снетков Александр </t>
  </si>
  <si>
    <t xml:space="preserve">Петряев Павел </t>
  </si>
  <si>
    <t xml:space="preserve">Аксенов Лев </t>
  </si>
  <si>
    <t xml:space="preserve">Горностаев Александр </t>
  </si>
  <si>
    <t xml:space="preserve">Лилимберг Виталий </t>
  </si>
  <si>
    <t xml:space="preserve">Немнонов Сергей </t>
  </si>
  <si>
    <t xml:space="preserve">Бирюков Ильдар </t>
  </si>
  <si>
    <t xml:space="preserve">Василисков Игорь </t>
  </si>
  <si>
    <t xml:space="preserve">Иванов Михаил </t>
  </si>
  <si>
    <t xml:space="preserve">Золотов Анатолий </t>
  </si>
  <si>
    <t xml:space="preserve">Минасян Ваган </t>
  </si>
  <si>
    <t xml:space="preserve">Поселок им. Морозова </t>
  </si>
  <si>
    <t xml:space="preserve">Выборг/Ленинградская область  </t>
  </si>
  <si>
    <t xml:space="preserve">Мирный/Архангельская область </t>
  </si>
  <si>
    <t xml:space="preserve">Псков/Псковская область  </t>
  </si>
  <si>
    <t xml:space="preserve">Беляев В.М. </t>
  </si>
  <si>
    <t xml:space="preserve">Ефимчук А. </t>
  </si>
  <si>
    <t xml:space="preserve">Бородии Владислав </t>
  </si>
  <si>
    <t>Мичка Иван</t>
  </si>
  <si>
    <t>Самостоятельно</t>
  </si>
  <si>
    <t xml:space="preserve">Фёдоров А. Ю. </t>
  </si>
  <si>
    <t xml:space="preserve">Солнцев Иван </t>
  </si>
  <si>
    <t xml:space="preserve">Серебренников Григорий </t>
  </si>
  <si>
    <t xml:space="preserve">Голубев Петр </t>
  </si>
  <si>
    <t xml:space="preserve">Прокуденков А.В. </t>
  </si>
  <si>
    <t xml:space="preserve">Панкратьев Александр </t>
  </si>
  <si>
    <t xml:space="preserve">Бельцов Артур </t>
  </si>
  <si>
    <t xml:space="preserve">Высочин Павел </t>
  </si>
  <si>
    <t xml:space="preserve">Моисеев Сергей  </t>
  </si>
  <si>
    <t xml:space="preserve">Крылов Алексей </t>
  </si>
  <si>
    <t xml:space="preserve">Пендер Алексей </t>
  </si>
  <si>
    <t xml:space="preserve">Дерягин Денис </t>
  </si>
  <si>
    <t xml:space="preserve">Семиглазов Антон </t>
  </si>
  <si>
    <t>Осиев Александр</t>
  </si>
  <si>
    <t xml:space="preserve">Сафин Алексей </t>
  </si>
  <si>
    <t xml:space="preserve">Никитин Кирилл </t>
  </si>
  <si>
    <t xml:space="preserve">Добролюбов Александр </t>
  </si>
  <si>
    <t xml:space="preserve">Рузаев Максим </t>
  </si>
  <si>
    <t xml:space="preserve">Бахов Кирилл  </t>
  </si>
  <si>
    <t xml:space="preserve">Леванов Михаил  </t>
  </si>
  <si>
    <t xml:space="preserve">Оскерко Наталия </t>
  </si>
  <si>
    <t xml:space="preserve">Баранюк Алена </t>
  </si>
  <si>
    <t xml:space="preserve">Пудож/Ленинградская область </t>
  </si>
  <si>
    <t>Уваров Денис</t>
  </si>
  <si>
    <t xml:space="preserve">Акатьев Владимир  </t>
  </si>
  <si>
    <t xml:space="preserve">Смирнов Сергей </t>
  </si>
  <si>
    <t>Сосновый бор/Ленинградская область</t>
  </si>
  <si>
    <t xml:space="preserve">Джатиев Владимир  </t>
  </si>
  <si>
    <t xml:space="preserve">Букина Валерия </t>
  </si>
  <si>
    <t xml:space="preserve">Сенькина Любовь </t>
  </si>
  <si>
    <t xml:space="preserve">Зубренкова Оксана  </t>
  </si>
  <si>
    <t xml:space="preserve">Старкин Сергей </t>
  </si>
  <si>
    <t xml:space="preserve">Кобелев Павел </t>
  </si>
  <si>
    <t xml:space="preserve">Моисеев Сергей </t>
  </si>
  <si>
    <t xml:space="preserve">Мамедяров Артур  </t>
  </si>
  <si>
    <t xml:space="preserve">Васев Александр </t>
  </si>
  <si>
    <t xml:space="preserve">Пустаханов Алексей </t>
  </si>
  <si>
    <t xml:space="preserve">Сыктывкар/Республика Коми </t>
  </si>
  <si>
    <t>Длужневский С.С.</t>
  </si>
  <si>
    <t>Безуглов Н.В.</t>
  </si>
  <si>
    <t>Ивачев А.А.</t>
  </si>
  <si>
    <t xml:space="preserve">Куликов М.А. </t>
  </si>
  <si>
    <t xml:space="preserve">Зорина Дарина </t>
  </si>
  <si>
    <t xml:space="preserve">Лутченко Екатерина </t>
  </si>
  <si>
    <t xml:space="preserve">Хацкевич Алексей </t>
  </si>
  <si>
    <t xml:space="preserve">Дьяченко Иван  </t>
  </si>
  <si>
    <t xml:space="preserve">Чальцев Николай </t>
  </si>
  <si>
    <t xml:space="preserve">Рубцов Яков </t>
  </si>
  <si>
    <t xml:space="preserve">Бахов Кирилл </t>
  </si>
  <si>
    <t xml:space="preserve">Леванов Михаил </t>
  </si>
  <si>
    <t xml:space="preserve">Одинаве Александр  </t>
  </si>
  <si>
    <t>Длужневского</t>
  </si>
  <si>
    <t xml:space="preserve">Новосибирск/Новосибирская область </t>
  </si>
  <si>
    <t xml:space="preserve">Папушой В.В. </t>
  </si>
  <si>
    <t>Смирнов Олег</t>
  </si>
  <si>
    <t xml:space="preserve">Медведева Юлия </t>
  </si>
  <si>
    <t xml:space="preserve">Шевалдова Марина </t>
  </si>
  <si>
    <t xml:space="preserve">Литвинов Дмитрий </t>
  </si>
  <si>
    <t xml:space="preserve">Ивачев А.А. </t>
  </si>
  <si>
    <t>Чемпионат России "Союз пауэрлифтеров России" Пауэрспорт</t>
  </si>
  <si>
    <t>19 - 20 сентября 2015 г.</t>
  </si>
  <si>
    <t>Возрастная группа</t>
  </si>
  <si>
    <t>Дата рождения/Возраст</t>
  </si>
  <si>
    <t>Gloss</t>
  </si>
  <si>
    <t>Жим стоя</t>
  </si>
  <si>
    <t>Подъем на бицепс</t>
  </si>
  <si>
    <t xml:space="preserve">Кулагина Анжела </t>
  </si>
  <si>
    <t>0,9156</t>
  </si>
  <si>
    <t>112,50</t>
  </si>
  <si>
    <t>103,0050</t>
  </si>
  <si>
    <t xml:space="preserve">Старкин Сергей  </t>
  </si>
  <si>
    <t>0,6451</t>
  </si>
  <si>
    <t>132,50</t>
  </si>
  <si>
    <t>85,4757</t>
  </si>
  <si>
    <t>0,6217</t>
  </si>
  <si>
    <t>62,1750</t>
  </si>
  <si>
    <t>Чемпионат России "Союз пауэрлифтеров России" Пауэрспорт с допинг контролем</t>
  </si>
  <si>
    <t xml:space="preserve">Шушкова Елена </t>
  </si>
  <si>
    <t>1,1827</t>
  </si>
  <si>
    <t>25,0</t>
  </si>
  <si>
    <t>55</t>
  </si>
  <si>
    <t>65,0485</t>
  </si>
  <si>
    <t xml:space="preserve">Белов Андрей  </t>
  </si>
  <si>
    <t>Masters 40-49 (22.02.1969)/46</t>
  </si>
  <si>
    <t>0,7513</t>
  </si>
  <si>
    <t>94,2744</t>
  </si>
  <si>
    <t xml:space="preserve">Шелков Михаил </t>
  </si>
  <si>
    <t>74,90</t>
  </si>
  <si>
    <t>0,6892</t>
  </si>
  <si>
    <t>115</t>
  </si>
  <si>
    <t>79,2580</t>
  </si>
  <si>
    <t>Мартиросян Овсеп</t>
  </si>
  <si>
    <t>Juniors 20-23 (27.12.1993)/21</t>
  </si>
  <si>
    <t>0,6885</t>
  </si>
  <si>
    <t>0,0000</t>
  </si>
  <si>
    <t xml:space="preserve">Дмитриев Артём </t>
  </si>
  <si>
    <t>Juniors 20-23 (30.06.1993)/22</t>
  </si>
  <si>
    <t>82,30</t>
  </si>
  <si>
    <t>0,6456</t>
  </si>
  <si>
    <t>100</t>
  </si>
  <si>
    <t>64,5600</t>
  </si>
  <si>
    <t xml:space="preserve">Смирнов О.А. </t>
  </si>
  <si>
    <t xml:space="preserve">Сорокин Евгений </t>
  </si>
  <si>
    <t>0,6518</t>
  </si>
  <si>
    <t>92,8886</t>
  </si>
  <si>
    <t>Рыбаков Анатолий</t>
  </si>
  <si>
    <t>Teen 13-19 (17.03.1996)/19</t>
  </si>
  <si>
    <t>0,6184</t>
  </si>
  <si>
    <t xml:space="preserve">Щербаков Максим  </t>
  </si>
  <si>
    <t>Open (10.01.1986)/29</t>
  </si>
  <si>
    <t>84,40</t>
  </si>
  <si>
    <t>0,6354</t>
  </si>
  <si>
    <t>130</t>
  </si>
  <si>
    <t>82,6020</t>
  </si>
  <si>
    <t>0,6003</t>
  </si>
  <si>
    <t>78,0390</t>
  </si>
  <si>
    <t>Чемпионат России  "Союз пауэрлифтеров России" Народный жим (1 вес) ДК</t>
  </si>
  <si>
    <t>Вес</t>
  </si>
  <si>
    <t>Повторы</t>
  </si>
  <si>
    <t>Кронштадт/Леиниградская область</t>
  </si>
  <si>
    <t>26,0</t>
  </si>
  <si>
    <t>2145,00</t>
  </si>
  <si>
    <t>1398,2182</t>
  </si>
  <si>
    <t>1650,00</t>
  </si>
  <si>
    <t>1075,5525</t>
  </si>
  <si>
    <t>Иванов Андрей</t>
  </si>
  <si>
    <t>Masters 40-49 (07.05.1968)/47</t>
  </si>
  <si>
    <t>76,70</t>
  </si>
  <si>
    <t>0,6773</t>
  </si>
  <si>
    <t xml:space="preserve">Кировск/Ленинградская область </t>
  </si>
  <si>
    <t>17,0</t>
  </si>
  <si>
    <t>1317,50</t>
  </si>
  <si>
    <t>965,5861</t>
  </si>
  <si>
    <t>Волов Павел</t>
  </si>
  <si>
    <t>87,80</t>
  </si>
  <si>
    <t>0,6205</t>
  </si>
  <si>
    <t>32,0</t>
  </si>
  <si>
    <t>2880,00</t>
  </si>
  <si>
    <t>1787,0401</t>
  </si>
  <si>
    <t>Букалов Алексей</t>
  </si>
  <si>
    <t>Open (10.12.1976)/38</t>
  </si>
  <si>
    <t>86,10</t>
  </si>
  <si>
    <t>0,6277</t>
  </si>
  <si>
    <t>2405,00</t>
  </si>
  <si>
    <t>1509,6184</t>
  </si>
  <si>
    <t>Ляшенко Александр</t>
  </si>
  <si>
    <t>0,6165</t>
  </si>
  <si>
    <t>2160,00</t>
  </si>
  <si>
    <t>1331,5320</t>
  </si>
  <si>
    <t>Голубев Петр</t>
  </si>
  <si>
    <t>22,0</t>
  </si>
  <si>
    <t>1980,00</t>
  </si>
  <si>
    <t>1224,5310</t>
  </si>
  <si>
    <t>Аксенов Лев</t>
  </si>
  <si>
    <t>0,5843</t>
  </si>
  <si>
    <t>14,0</t>
  </si>
  <si>
    <t>1400,00</t>
  </si>
  <si>
    <t>818,0200</t>
  </si>
  <si>
    <t>Василисков Игорь</t>
  </si>
  <si>
    <t>0,8990</t>
  </si>
  <si>
    <t>18,0</t>
  </si>
  <si>
    <t>1890,00</t>
  </si>
  <si>
    <t>1699,1100</t>
  </si>
  <si>
    <t>Минасян Ваган</t>
  </si>
  <si>
    <t>0,5472</t>
  </si>
  <si>
    <t>1750,00</t>
  </si>
  <si>
    <t>957,6000</t>
  </si>
  <si>
    <t xml:space="preserve">Gloss </t>
  </si>
  <si>
    <t>2880,0</t>
  </si>
  <si>
    <t>1890,0</t>
  </si>
  <si>
    <t>2405,0</t>
  </si>
  <si>
    <t>Чемпионат России "Союз пауэрлифтеров России" Народный жим (1/2 вес) ДК</t>
  </si>
  <si>
    <t xml:space="preserve">19 - 20 сентября 2015 г. </t>
  </si>
  <si>
    <t>1250</t>
  </si>
  <si>
    <t>1478,3750</t>
  </si>
  <si>
    <t>1485</t>
  </si>
  <si>
    <t>1359,6660</t>
  </si>
  <si>
    <t>0,8361</t>
  </si>
  <si>
    <t>Никитин Константин</t>
  </si>
  <si>
    <t>Open (28.05.1970)/45</t>
  </si>
  <si>
    <t>70,40</t>
  </si>
  <si>
    <t>0,7229</t>
  </si>
  <si>
    <t>33,0</t>
  </si>
  <si>
    <t>2392,5</t>
  </si>
  <si>
    <t>1729,5382</t>
  </si>
  <si>
    <t>Masters 40-49 (28.05.1970)/45</t>
  </si>
  <si>
    <t>1824,6628</t>
  </si>
  <si>
    <t>0,6535</t>
  </si>
  <si>
    <t>2887,5</t>
  </si>
  <si>
    <t>1886,8369</t>
  </si>
  <si>
    <t>Стеценко Д. Н.</t>
  </si>
  <si>
    <t>Волков Андрей</t>
  </si>
  <si>
    <t>Open (29.09.1975)/39</t>
  </si>
  <si>
    <t>89,70</t>
  </si>
  <si>
    <t>0,6130</t>
  </si>
  <si>
    <t xml:space="preserve">Sport life </t>
  </si>
  <si>
    <t>4500</t>
  </si>
  <si>
    <t>2758,4999</t>
  </si>
  <si>
    <t>1750</t>
  </si>
  <si>
    <t>1088,0625</t>
  </si>
  <si>
    <t>Тимофеев Ян</t>
  </si>
  <si>
    <t>Juniors 20-23 (14.02.1992)/23</t>
  </si>
  <si>
    <t>31,0</t>
  </si>
  <si>
    <t>3255</t>
  </si>
  <si>
    <t>2926,2450</t>
  </si>
  <si>
    <t>0,8984</t>
  </si>
  <si>
    <t>19,0</t>
  </si>
  <si>
    <t>1995</t>
  </si>
  <si>
    <t>1792,3080</t>
  </si>
  <si>
    <t>114,40</t>
  </si>
  <si>
    <t>0,5569</t>
  </si>
  <si>
    <t>2530</t>
  </si>
  <si>
    <t>1408,9571</t>
  </si>
  <si>
    <t>4500,0</t>
  </si>
  <si>
    <t xml:space="preserve">82,5 </t>
  </si>
  <si>
    <t>1995,0</t>
  </si>
  <si>
    <t>Чемпионат России "Союз пауэрлифтеров России" Народный жим (1 вес)  19 - 20 сентября 2015 г.</t>
  </si>
  <si>
    <t>Всероссийский мастерский турнир WAA «Rolling Thunder»</t>
  </si>
  <si>
    <t>Папин Евгений</t>
  </si>
  <si>
    <t>Junior (30.09.1995)/19</t>
  </si>
  <si>
    <t>63,00</t>
  </si>
  <si>
    <t>Киселев Игорь</t>
  </si>
  <si>
    <t>Open (01.02.1991)/24</t>
  </si>
  <si>
    <t>86,20</t>
  </si>
  <si>
    <t>70,50</t>
  </si>
  <si>
    <t xml:space="preserve">Хачатрян Александр </t>
  </si>
  <si>
    <t>Вылекжанин Максим</t>
  </si>
  <si>
    <t>Open (15.05.1993)/22</t>
  </si>
  <si>
    <t>84,30</t>
  </si>
  <si>
    <t>65,50</t>
  </si>
  <si>
    <t>Всероссийский мастерский турнир WAA «Apollon Axle»</t>
  </si>
  <si>
    <t>ВЕСОВАЯ КАТЕГОРИЯ   80</t>
  </si>
  <si>
    <t>Хачатрян Александр</t>
  </si>
  <si>
    <t>Open (24.10.1986)/28</t>
  </si>
  <si>
    <t>80,00</t>
  </si>
  <si>
    <t xml:space="preserve">Санки-Петербург </t>
  </si>
  <si>
    <t>150</t>
  </si>
  <si>
    <t>102,4050</t>
  </si>
  <si>
    <t>Junior (17.03.1996)/19</t>
  </si>
  <si>
    <t>140</t>
  </si>
  <si>
    <t>90,2580</t>
  </si>
  <si>
    <t>69,8700</t>
  </si>
  <si>
    <t>160</t>
  </si>
  <si>
    <t>103,0400</t>
  </si>
  <si>
    <t>Щербаков Максим</t>
  </si>
  <si>
    <t>99,1500</t>
  </si>
  <si>
    <t>Минко Алексей</t>
  </si>
  <si>
    <t>Open (20.11.1980)/34</t>
  </si>
  <si>
    <t>84,70</t>
  </si>
  <si>
    <t>98,9550</t>
  </si>
  <si>
    <t>91,4480</t>
  </si>
  <si>
    <t>Талдыкин Артем</t>
  </si>
  <si>
    <t>Open (02.12.1991)/23</t>
  </si>
  <si>
    <t>83,60</t>
  </si>
  <si>
    <t xml:space="preserve">Воронеж/Воронежская область </t>
  </si>
  <si>
    <t>86,4110</t>
  </si>
  <si>
    <t xml:space="preserve">Шевченко Сергей </t>
  </si>
  <si>
    <t>66,1500</t>
  </si>
  <si>
    <t xml:space="preserve">80 </t>
  </si>
  <si>
    <t>Всероссийский мастерский турнир WAA «HUB»</t>
  </si>
  <si>
    <t>ВЕСОВАЯ КАТЕГОРИЯ   70</t>
  </si>
  <si>
    <t>23,75</t>
  </si>
  <si>
    <t>24,5864</t>
  </si>
  <si>
    <t>20</t>
  </si>
  <si>
    <t>12,9580</t>
  </si>
  <si>
    <t>15</t>
  </si>
  <si>
    <t>9,9705</t>
  </si>
  <si>
    <t>Шварц Сергей</t>
  </si>
  <si>
    <t>Open (22.02.1991)/24</t>
  </si>
  <si>
    <t>12,1960</t>
  </si>
  <si>
    <t xml:space="preserve">70 </t>
  </si>
  <si>
    <t>результат</t>
  </si>
  <si>
    <t>Главный секретарь соревнований: Новиков Степан/Вологда МК</t>
  </si>
  <si>
    <t>Помощник главного секретаря: Ермолаева Дарья/Санкт Петербург</t>
  </si>
  <si>
    <t xml:space="preserve">Состав судейской коллегии на Чемпионате России по пауэрлифтингу, его отдельным движениям, народному жиму и пауэрспорту по версиям IPL/СПР, а также Всероссийском мастерском турнире по жимовому двоеборью и армлифтингу по версиям федераций WAA/ФЖД </t>
  </si>
  <si>
    <t>Санкт - Петербург, 20-21 сентября 2015 года</t>
  </si>
  <si>
    <t>Главный судья соревнований: Длужневская Эльвира/Вологда МК</t>
  </si>
  <si>
    <t>Аппеляционное жюри: Длужневская Эльвира/Вологда МК, Новиков Степан/Вологда МК, Смирнов Олег/Санкт Петербург, Санкт - Петербург</t>
  </si>
  <si>
    <t>Центральный судья на помосте: Длужневская Эльвира/Вологда МК, Смирнов Олег/Санкт Петербург НК, Медведева Юлия/Новосибирск НК, Легчилин Роман/Кронштадт РК</t>
  </si>
  <si>
    <t xml:space="preserve">Боковые судьи на помосте: Смирнов Олег/Санкт Петербург НК, Лысиков Дмитрий/Cанкт Петербург НК, Медведева Юлия/Новосибирск НК, Юшко Сергей/Кронштадт РК, Скворцов Михаил/Санкт Петербург РК. </t>
  </si>
  <si>
    <t>Командный зачет Чемпионата России по пауэрлифтингу, его отдельным движениям, народному жиму и пауэрспорту, а также Всероссийского мастерского турнира по жимовому двоеборью и армлифтингу</t>
  </si>
  <si>
    <t>Динамит/Санкт-Петербург/Ольга Михайлова</t>
  </si>
  <si>
    <t>Вегетерианская Сила/Санкт - Петербург/Олег Смирнов</t>
  </si>
  <si>
    <t>Арена/Санкт - Петербург/Александр Панкратьев</t>
  </si>
  <si>
    <t>Жим/первое упражнение</t>
  </si>
  <si>
    <t>Жим/второе упражнение</t>
  </si>
  <si>
    <t>Сумма баллов</t>
  </si>
  <si>
    <t>Год рождения/Возраст</t>
  </si>
  <si>
    <t>Тоннаж</t>
  </si>
  <si>
    <t>самостоятельно</t>
  </si>
  <si>
    <t>Всероссийский мастерский турнир                                                                                                                                                                                              Жимовое двоеборье</t>
  </si>
  <si>
    <t xml:space="preserve">Мужчины - любители </t>
  </si>
  <si>
    <t>Кузнецов Сергей</t>
  </si>
  <si>
    <t xml:space="preserve">Нижний Новгород/Нижегородская область </t>
  </si>
  <si>
    <t>Клюшин Николай</t>
  </si>
  <si>
    <t>Open (04.03.1986)/29</t>
  </si>
  <si>
    <t>Open (15.01.1983)/32</t>
  </si>
  <si>
    <t>101,5</t>
  </si>
  <si>
    <t>Санкт - Петербург</t>
  </si>
  <si>
    <t>27,0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</si>
</sst>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54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1"/>
      <name val="Arial Cyr"/>
      <family val="0"/>
    </font>
    <font>
      <strike/>
      <sz val="10"/>
      <color indexed="10"/>
      <name val="Arial Cyr"/>
      <family val="0"/>
    </font>
    <font>
      <strike/>
      <sz val="10"/>
      <color indexed="21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 Cyr"/>
      <family val="0"/>
    </font>
    <font>
      <strike/>
      <sz val="10"/>
      <color rgb="FFFF0000"/>
      <name val="Arial Cyr"/>
      <family val="0"/>
    </font>
    <font>
      <strike/>
      <sz val="10"/>
      <color rgb="FF00B05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 style="thin">
        <color rgb="FF000000"/>
      </left>
      <right style="thin"/>
      <top style="medium"/>
      <bottom>
        <color indexed="63"/>
      </bottom>
    </border>
    <border>
      <left style="thin">
        <color rgb="FF000000"/>
      </left>
      <right style="thin"/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49" fontId="7" fillId="0" borderId="12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7" fillId="0" borderId="13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7" fillId="0" borderId="11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0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50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51" fillId="0" borderId="11" xfId="0" applyNumberFormat="1" applyFont="1" applyBorder="1" applyAlignment="1">
      <alignment/>
    </xf>
    <xf numFmtId="49" fontId="50" fillId="0" borderId="0" xfId="0" applyNumberFormat="1" applyFont="1" applyAlignment="1">
      <alignment/>
    </xf>
    <xf numFmtId="49" fontId="51" fillId="0" borderId="12" xfId="0" applyNumberFormat="1" applyFont="1" applyBorder="1" applyAlignment="1">
      <alignment/>
    </xf>
    <xf numFmtId="49" fontId="51" fillId="0" borderId="13" xfId="0" applyNumberFormat="1" applyFont="1" applyBorder="1" applyAlignment="1">
      <alignment/>
    </xf>
    <xf numFmtId="49" fontId="50" fillId="0" borderId="12" xfId="0" applyNumberFormat="1" applyFont="1" applyBorder="1" applyAlignment="1">
      <alignment/>
    </xf>
    <xf numFmtId="49" fontId="50" fillId="0" borderId="13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52" fillId="0" borderId="12" xfId="0" applyNumberFormat="1" applyFont="1" applyBorder="1" applyAlignment="1">
      <alignment/>
    </xf>
    <xf numFmtId="49" fontId="52" fillId="0" borderId="11" xfId="0" applyNumberFormat="1" applyFont="1" applyBorder="1" applyAlignment="1">
      <alignment/>
    </xf>
    <xf numFmtId="49" fontId="53" fillId="0" borderId="0" xfId="0" applyNumberFormat="1" applyFont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50" fillId="0" borderId="11" xfId="0" applyNumberFormat="1" applyFont="1" applyFill="1" applyBorder="1" applyAlignment="1">
      <alignment horizontal="center"/>
    </xf>
    <xf numFmtId="49" fontId="50" fillId="0" borderId="12" xfId="0" applyNumberFormat="1" applyFont="1" applyFill="1" applyBorder="1" applyAlignment="1">
      <alignment horizontal="center"/>
    </xf>
    <xf numFmtId="49" fontId="52" fillId="0" borderId="12" xfId="0" applyNumberFormat="1" applyFont="1" applyFill="1" applyBorder="1" applyAlignment="1">
      <alignment horizontal="center"/>
    </xf>
    <xf numFmtId="49" fontId="50" fillId="0" borderId="13" xfId="0" applyNumberFormat="1" applyFont="1" applyFill="1" applyBorder="1" applyAlignment="1">
      <alignment horizontal="center"/>
    </xf>
    <xf numFmtId="49" fontId="51" fillId="0" borderId="11" xfId="0" applyNumberFormat="1" applyFont="1" applyFill="1" applyBorder="1" applyAlignment="1">
      <alignment horizontal="center"/>
    </xf>
    <xf numFmtId="49" fontId="51" fillId="0" borderId="13" xfId="0" applyNumberFormat="1" applyFont="1" applyFill="1" applyBorder="1" applyAlignment="1">
      <alignment horizontal="center"/>
    </xf>
    <xf numFmtId="49" fontId="51" fillId="0" borderId="12" xfId="0" applyNumberFormat="1" applyFont="1" applyFill="1" applyBorder="1" applyAlignment="1">
      <alignment horizontal="center"/>
    </xf>
    <xf numFmtId="49" fontId="53" fillId="0" borderId="12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2" fillId="0" borderId="11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/>
    </xf>
    <xf numFmtId="49" fontId="50" fillId="0" borderId="0" xfId="0" applyNumberFormat="1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5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 wrapText="1"/>
    </xf>
    <xf numFmtId="49" fontId="50" fillId="0" borderId="17" xfId="0" applyNumberFormat="1" applyFont="1" applyBorder="1" applyAlignment="1">
      <alignment horizontal="center"/>
    </xf>
    <xf numFmtId="49" fontId="52" fillId="0" borderId="17" xfId="0" applyNumberFormat="1" applyFont="1" applyBorder="1" applyAlignment="1">
      <alignment horizontal="center"/>
    </xf>
    <xf numFmtId="49" fontId="51" fillId="0" borderId="1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17" xfId="0" applyNumberFormat="1" applyBorder="1" applyAlignment="1">
      <alignment/>
    </xf>
    <xf numFmtId="49" fontId="50" fillId="0" borderId="17" xfId="0" applyNumberFormat="1" applyFont="1" applyBorder="1" applyAlignment="1">
      <alignment/>
    </xf>
    <xf numFmtId="49" fontId="51" fillId="0" borderId="17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49" fontId="52" fillId="0" borderId="17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49" fontId="50" fillId="0" borderId="18" xfId="0" applyNumberFormat="1" applyFont="1" applyBorder="1" applyAlignment="1">
      <alignment/>
    </xf>
    <xf numFmtId="49" fontId="51" fillId="0" borderId="18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50" fillId="0" borderId="19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49" fontId="51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left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left"/>
    </xf>
    <xf numFmtId="49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 horizontal="center" wrapText="1"/>
    </xf>
    <xf numFmtId="49" fontId="2" fillId="0" borderId="20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left"/>
    </xf>
    <xf numFmtId="49" fontId="0" fillId="0" borderId="21" xfId="0" applyNumberFormat="1" applyBorder="1" applyAlignment="1">
      <alignment horizontal="center"/>
    </xf>
    <xf numFmtId="49" fontId="0" fillId="0" borderId="21" xfId="0" applyNumberForma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21" xfId="0" applyNumberForma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172" fontId="0" fillId="0" borderId="17" xfId="0" applyNumberFormat="1" applyBorder="1" applyAlignment="1">
      <alignment/>
    </xf>
    <xf numFmtId="172" fontId="5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72" fontId="0" fillId="0" borderId="41" xfId="0" applyNumberFormat="1" applyBorder="1" applyAlignment="1">
      <alignment horizontal="right"/>
    </xf>
    <xf numFmtId="172" fontId="0" fillId="0" borderId="42" xfId="0" applyNumberFormat="1" applyBorder="1" applyAlignment="1">
      <alignment horizontal="right"/>
    </xf>
    <xf numFmtId="0" fontId="0" fillId="0" borderId="0" xfId="0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49" fontId="5" fillId="0" borderId="3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T1">
      <selection activeCell="F17" sqref="F17"/>
    </sheetView>
  </sheetViews>
  <sheetFormatPr defaultColWidth="11.00390625" defaultRowHeight="12.75"/>
  <cols>
    <col min="1" max="1" width="6.75390625" style="0" customWidth="1"/>
    <col min="2" max="2" width="14.375" style="0" customWidth="1"/>
    <col min="3" max="3" width="23.375" style="0" customWidth="1"/>
    <col min="5" max="5" width="16.125" style="0" customWidth="1"/>
    <col min="6" max="6" width="25.125" style="0" customWidth="1"/>
    <col min="9" max="9" width="18.625" style="0" customWidth="1"/>
  </cols>
  <sheetData>
    <row r="1" spans="1:10" ht="28.5" customHeight="1">
      <c r="A1" s="142"/>
      <c r="B1" s="143" t="s">
        <v>889</v>
      </c>
      <c r="C1" s="143"/>
      <c r="D1" s="143"/>
      <c r="E1" s="143"/>
      <c r="F1" s="143"/>
      <c r="G1" s="143"/>
      <c r="H1" s="143"/>
      <c r="I1" s="143"/>
      <c r="J1" s="142"/>
    </row>
    <row r="2" spans="1:10" ht="28.5" hidden="1">
      <c r="A2" s="142"/>
      <c r="B2" s="143"/>
      <c r="C2" s="143"/>
      <c r="D2" s="143"/>
      <c r="E2" s="143"/>
      <c r="F2" s="143"/>
      <c r="G2" s="143"/>
      <c r="H2" s="143"/>
      <c r="I2" s="143"/>
      <c r="J2" s="142"/>
    </row>
    <row r="3" spans="1:10" ht="30" thickBot="1">
      <c r="A3" s="77"/>
      <c r="B3" s="144" t="s">
        <v>690</v>
      </c>
      <c r="C3" s="144"/>
      <c r="D3" s="144"/>
      <c r="E3" s="144"/>
      <c r="F3" s="144"/>
      <c r="G3" s="144"/>
      <c r="H3" s="144"/>
      <c r="I3" s="144"/>
      <c r="J3" s="77"/>
    </row>
    <row r="4" spans="1:10" ht="13.5">
      <c r="A4" s="145" t="s">
        <v>561</v>
      </c>
      <c r="B4" s="147" t="s">
        <v>0</v>
      </c>
      <c r="C4" s="82" t="s">
        <v>691</v>
      </c>
      <c r="D4" s="149" t="s">
        <v>10</v>
      </c>
      <c r="E4" s="147" t="s">
        <v>7</v>
      </c>
      <c r="F4" s="151" t="s">
        <v>583</v>
      </c>
      <c r="G4" s="147" t="s">
        <v>567</v>
      </c>
      <c r="H4" s="147" t="s">
        <v>6</v>
      </c>
      <c r="I4" s="153" t="s">
        <v>5</v>
      </c>
      <c r="J4" s="129"/>
    </row>
    <row r="5" spans="1:10" ht="15" thickBot="1">
      <c r="A5" s="146"/>
      <c r="B5" s="148"/>
      <c r="C5" s="83" t="s">
        <v>692</v>
      </c>
      <c r="D5" s="150"/>
      <c r="E5" s="148"/>
      <c r="F5" s="152"/>
      <c r="G5" s="148"/>
      <c r="H5" s="148"/>
      <c r="I5" s="154"/>
      <c r="J5" s="129"/>
    </row>
    <row r="6" spans="2:9" ht="15.75">
      <c r="B6" s="155" t="s">
        <v>890</v>
      </c>
      <c r="C6" s="155"/>
      <c r="D6" s="155"/>
      <c r="E6" s="155"/>
      <c r="F6" s="155"/>
      <c r="G6" s="155"/>
      <c r="H6" s="155"/>
      <c r="I6" s="24"/>
    </row>
    <row r="7" spans="1:9" ht="12.75">
      <c r="A7" s="36" t="s">
        <v>562</v>
      </c>
      <c r="B7" s="95" t="s">
        <v>25</v>
      </c>
      <c r="C7" s="95" t="s">
        <v>26</v>
      </c>
      <c r="D7" s="95" t="s">
        <v>27</v>
      </c>
      <c r="E7" s="95" t="s">
        <v>16</v>
      </c>
      <c r="F7" s="95" t="s">
        <v>28</v>
      </c>
      <c r="G7" s="93" t="s">
        <v>891</v>
      </c>
      <c r="H7" s="95" t="s">
        <v>892</v>
      </c>
      <c r="I7" s="95" t="s">
        <v>33</v>
      </c>
    </row>
    <row r="8" spans="1:9" ht="12.75">
      <c r="A8" s="37"/>
      <c r="B8" s="24"/>
      <c r="C8" s="24"/>
      <c r="D8" s="24"/>
      <c r="E8" s="24"/>
      <c r="F8" s="24"/>
      <c r="G8" s="37"/>
      <c r="H8" s="24"/>
      <c r="I8" s="24"/>
    </row>
    <row r="9" spans="2:9" ht="15.75">
      <c r="B9" s="155" t="s">
        <v>85</v>
      </c>
      <c r="C9" s="155"/>
      <c r="D9" s="155"/>
      <c r="E9" s="155"/>
      <c r="F9" s="155"/>
      <c r="G9" s="155"/>
      <c r="H9" s="155"/>
      <c r="I9" s="24"/>
    </row>
    <row r="10" spans="1:9" ht="12.75">
      <c r="A10" s="47" t="s">
        <v>562</v>
      </c>
      <c r="B10" s="100" t="s">
        <v>98</v>
      </c>
      <c r="C10" s="100" t="s">
        <v>99</v>
      </c>
      <c r="D10" s="100" t="s">
        <v>100</v>
      </c>
      <c r="E10" s="100" t="s">
        <v>16</v>
      </c>
      <c r="F10" s="100" t="s">
        <v>101</v>
      </c>
      <c r="G10" s="104" t="s">
        <v>893</v>
      </c>
      <c r="H10" s="100" t="s">
        <v>894</v>
      </c>
      <c r="I10" s="100" t="s">
        <v>40</v>
      </c>
    </row>
    <row r="11" spans="1:9" ht="12.75">
      <c r="A11" s="36" t="s">
        <v>570</v>
      </c>
      <c r="B11" s="95" t="s">
        <v>881</v>
      </c>
      <c r="C11" s="95" t="s">
        <v>882</v>
      </c>
      <c r="D11" s="95" t="s">
        <v>883</v>
      </c>
      <c r="E11" s="95" t="s">
        <v>16</v>
      </c>
      <c r="F11" s="95" t="s">
        <v>884</v>
      </c>
      <c r="G11" s="93" t="s">
        <v>895</v>
      </c>
      <c r="H11" s="95" t="s">
        <v>896</v>
      </c>
      <c r="I11" s="95" t="s">
        <v>886</v>
      </c>
    </row>
    <row r="12" spans="1:9" ht="12.75">
      <c r="A12" s="37"/>
      <c r="B12" s="24"/>
      <c r="C12" s="24"/>
      <c r="D12" s="24"/>
      <c r="E12" s="24"/>
      <c r="F12" s="24"/>
      <c r="G12" s="37"/>
      <c r="H12" s="24"/>
      <c r="I12" s="24"/>
    </row>
    <row r="13" spans="2:9" ht="15.75">
      <c r="B13" s="155" t="s">
        <v>115</v>
      </c>
      <c r="C13" s="155"/>
      <c r="D13" s="155"/>
      <c r="E13" s="155"/>
      <c r="F13" s="155"/>
      <c r="G13" s="155"/>
      <c r="H13" s="155"/>
      <c r="I13" s="24"/>
    </row>
    <row r="14" spans="1:9" ht="12.75">
      <c r="A14" s="36" t="s">
        <v>562</v>
      </c>
      <c r="B14" s="95" t="s">
        <v>897</v>
      </c>
      <c r="C14" s="95" t="s">
        <v>898</v>
      </c>
      <c r="D14" s="95" t="s">
        <v>507</v>
      </c>
      <c r="E14" s="95" t="s">
        <v>216</v>
      </c>
      <c r="F14" s="95" t="s">
        <v>17</v>
      </c>
      <c r="G14" s="93" t="s">
        <v>893</v>
      </c>
      <c r="H14" s="95" t="s">
        <v>899</v>
      </c>
      <c r="I14" s="95" t="s">
        <v>217</v>
      </c>
    </row>
    <row r="15" spans="1:9" ht="12.75">
      <c r="A15" s="37"/>
      <c r="B15" s="24"/>
      <c r="C15" s="24"/>
      <c r="D15" s="24"/>
      <c r="E15" s="24"/>
      <c r="F15" s="24"/>
      <c r="G15" s="37"/>
      <c r="H15" s="24"/>
      <c r="I15" s="24"/>
    </row>
    <row r="16" spans="1:9" ht="12.75">
      <c r="A16" s="37"/>
      <c r="B16" s="24"/>
      <c r="C16" s="24"/>
      <c r="D16" s="24"/>
      <c r="E16" s="24"/>
      <c r="F16" s="24"/>
      <c r="G16" s="37"/>
      <c r="H16" s="24"/>
      <c r="I16" s="24"/>
    </row>
    <row r="17" spans="1:9" ht="18">
      <c r="A17" s="37"/>
      <c r="B17" s="31" t="s">
        <v>183</v>
      </c>
      <c r="C17" s="31"/>
      <c r="D17" s="24"/>
      <c r="E17" s="24"/>
      <c r="F17" s="24"/>
      <c r="G17" s="37"/>
      <c r="H17" s="24"/>
      <c r="I17" s="24"/>
    </row>
    <row r="18" spans="1:9" ht="15.75">
      <c r="A18" s="37"/>
      <c r="B18" s="32" t="s">
        <v>184</v>
      </c>
      <c r="C18" s="32"/>
      <c r="D18" s="24"/>
      <c r="E18" s="24"/>
      <c r="F18" s="24"/>
      <c r="G18" s="37"/>
      <c r="H18" s="24"/>
      <c r="I18" s="24"/>
    </row>
    <row r="19" spans="1:9" ht="13.5">
      <c r="A19" s="37"/>
      <c r="B19" s="34" t="s">
        <v>192</v>
      </c>
      <c r="C19" s="34"/>
      <c r="D19" s="24"/>
      <c r="E19" s="24"/>
      <c r="F19" s="24"/>
      <c r="G19" s="37"/>
      <c r="H19" s="24"/>
      <c r="I19" s="24"/>
    </row>
    <row r="20" spans="1:9" ht="13.5">
      <c r="A20" s="37"/>
      <c r="B20" s="35" t="s">
        <v>186</v>
      </c>
      <c r="C20" s="127" t="s">
        <v>187</v>
      </c>
      <c r="D20" s="127" t="s">
        <v>188</v>
      </c>
      <c r="E20" s="127" t="s">
        <v>567</v>
      </c>
      <c r="F20" s="24"/>
      <c r="G20" s="37"/>
      <c r="H20" s="24"/>
      <c r="I20" s="24"/>
    </row>
    <row r="21" spans="1:9" ht="12.75">
      <c r="A21" s="37" t="s">
        <v>562</v>
      </c>
      <c r="B21" s="33" t="s">
        <v>25</v>
      </c>
      <c r="C21" s="77" t="s">
        <v>192</v>
      </c>
      <c r="D21" s="77" t="s">
        <v>900</v>
      </c>
      <c r="E21" s="37" t="s">
        <v>891</v>
      </c>
      <c r="F21" s="24"/>
      <c r="G21" s="37"/>
      <c r="H21" s="24"/>
      <c r="I21" s="24"/>
    </row>
    <row r="22" spans="1:9" ht="12.75">
      <c r="A22" s="37"/>
      <c r="B22" s="24"/>
      <c r="C22" s="24"/>
      <c r="D22" s="24"/>
      <c r="E22" s="24"/>
      <c r="F22" s="24"/>
      <c r="G22" s="37"/>
      <c r="H22" s="24"/>
      <c r="I22" s="24"/>
    </row>
    <row r="23" spans="1:9" ht="12.75">
      <c r="A23" s="37"/>
      <c r="B23" s="24"/>
      <c r="C23" s="24"/>
      <c r="D23" s="24"/>
      <c r="E23" s="24"/>
      <c r="F23" s="24"/>
      <c r="G23" s="37"/>
      <c r="H23" s="24"/>
      <c r="I23" s="24"/>
    </row>
    <row r="24" spans="1:9" ht="15.75">
      <c r="A24" s="37"/>
      <c r="B24" s="32" t="s">
        <v>195</v>
      </c>
      <c r="C24" s="32"/>
      <c r="D24" s="24"/>
      <c r="E24" s="24"/>
      <c r="F24" s="24"/>
      <c r="G24" s="37"/>
      <c r="H24" s="24"/>
      <c r="I24" s="24"/>
    </row>
    <row r="25" spans="1:9" ht="13.5">
      <c r="A25" s="37"/>
      <c r="B25" s="34" t="s">
        <v>192</v>
      </c>
      <c r="C25" s="34"/>
      <c r="D25" s="24"/>
      <c r="E25" s="24"/>
      <c r="F25" s="24"/>
      <c r="G25" s="37"/>
      <c r="H25" s="24"/>
      <c r="I25" s="24"/>
    </row>
    <row r="26" spans="1:9" ht="13.5">
      <c r="A26" s="37"/>
      <c r="B26" s="35" t="s">
        <v>186</v>
      </c>
      <c r="C26" s="127" t="s">
        <v>187</v>
      </c>
      <c r="D26" s="127" t="s">
        <v>188</v>
      </c>
      <c r="E26" s="127" t="s">
        <v>901</v>
      </c>
      <c r="F26" s="24"/>
      <c r="G26" s="37"/>
      <c r="H26" s="24"/>
      <c r="I26" s="24"/>
    </row>
    <row r="27" spans="1:9" ht="12.75">
      <c r="A27" s="37" t="s">
        <v>562</v>
      </c>
      <c r="B27" s="33" t="s">
        <v>98</v>
      </c>
      <c r="C27" s="77" t="s">
        <v>192</v>
      </c>
      <c r="D27" s="77" t="s">
        <v>202</v>
      </c>
      <c r="E27" s="37" t="s">
        <v>893</v>
      </c>
      <c r="F27" s="24"/>
      <c r="G27" s="37"/>
      <c r="H27" s="24"/>
      <c r="I27" s="24"/>
    </row>
    <row r="28" spans="1:9" ht="12.75">
      <c r="A28" s="37" t="s">
        <v>570</v>
      </c>
      <c r="B28" s="33" t="s">
        <v>897</v>
      </c>
      <c r="C28" s="77" t="s">
        <v>192</v>
      </c>
      <c r="D28" s="77" t="s">
        <v>198</v>
      </c>
      <c r="E28" s="37" t="s">
        <v>893</v>
      </c>
      <c r="F28" s="24"/>
      <c r="G28" s="37"/>
      <c r="H28" s="24"/>
      <c r="I28" s="24"/>
    </row>
    <row r="29" spans="1:9" ht="12.75">
      <c r="A29" s="37" t="s">
        <v>572</v>
      </c>
      <c r="B29" s="33" t="s">
        <v>881</v>
      </c>
      <c r="C29" s="77" t="s">
        <v>192</v>
      </c>
      <c r="D29" s="77" t="s">
        <v>202</v>
      </c>
      <c r="E29" s="37" t="s">
        <v>895</v>
      </c>
      <c r="F29" s="24"/>
      <c r="G29" s="37"/>
      <c r="H29" s="24"/>
      <c r="I29" s="24"/>
    </row>
    <row r="30" spans="1:9" ht="12.75">
      <c r="A30" s="37"/>
      <c r="B30" s="24"/>
      <c r="C30" s="24"/>
      <c r="D30" s="24"/>
      <c r="E30" s="24"/>
      <c r="F30" s="24"/>
      <c r="G30" s="37"/>
      <c r="H30" s="24"/>
      <c r="I30" s="24"/>
    </row>
    <row r="31" spans="1:9" ht="12.75">
      <c r="A31" s="37"/>
      <c r="B31" s="24"/>
      <c r="C31" s="24"/>
      <c r="D31" s="24"/>
      <c r="E31" s="24"/>
      <c r="F31" s="24"/>
      <c r="G31" s="37"/>
      <c r="H31" s="24"/>
      <c r="I31" s="24"/>
    </row>
    <row r="32" spans="1:9" ht="12.75">
      <c r="A32" s="37"/>
      <c r="B32" s="24"/>
      <c r="C32" s="24"/>
      <c r="D32" s="24"/>
      <c r="E32" s="24"/>
      <c r="F32" s="24"/>
      <c r="G32" s="37"/>
      <c r="H32" s="24"/>
      <c r="I32" s="24"/>
    </row>
    <row r="33" spans="1:9" ht="12.75">
      <c r="A33" s="37"/>
      <c r="B33" s="24"/>
      <c r="C33" s="24"/>
      <c r="D33" s="24"/>
      <c r="E33" s="24"/>
      <c r="F33" s="24"/>
      <c r="G33" s="37"/>
      <c r="H33" s="24"/>
      <c r="I33" s="24"/>
    </row>
    <row r="34" spans="1:9" ht="12.75">
      <c r="A34" s="37"/>
      <c r="B34" s="24"/>
      <c r="C34" s="24"/>
      <c r="D34" s="24"/>
      <c r="E34" s="24"/>
      <c r="F34" s="24"/>
      <c r="G34" s="37"/>
      <c r="H34" s="24"/>
      <c r="I34" s="24"/>
    </row>
    <row r="35" spans="1:9" ht="12.75">
      <c r="A35" s="37"/>
      <c r="B35" s="24"/>
      <c r="C35" s="24"/>
      <c r="D35" s="24"/>
      <c r="E35" s="24"/>
      <c r="F35" s="24"/>
      <c r="G35" s="37"/>
      <c r="H35" s="24"/>
      <c r="I35" s="24"/>
    </row>
    <row r="36" spans="1:9" ht="12.75">
      <c r="A36" s="37"/>
      <c r="B36" s="24"/>
      <c r="C36" s="24"/>
      <c r="D36" s="24"/>
      <c r="E36" s="24"/>
      <c r="F36" s="24"/>
      <c r="G36" s="37"/>
      <c r="H36" s="24"/>
      <c r="I36" s="24"/>
    </row>
    <row r="37" spans="1:9" ht="12.75">
      <c r="A37" s="37"/>
      <c r="B37" s="24"/>
      <c r="C37" s="24"/>
      <c r="D37" s="24"/>
      <c r="E37" s="24"/>
      <c r="F37" s="24"/>
      <c r="G37" s="37"/>
      <c r="H37" s="24"/>
      <c r="I37" s="24"/>
    </row>
    <row r="38" spans="1:9" ht="12.75">
      <c r="A38" s="37"/>
      <c r="B38" s="24"/>
      <c r="C38" s="24"/>
      <c r="D38" s="24"/>
      <c r="E38" s="24"/>
      <c r="F38" s="24"/>
      <c r="G38" s="37"/>
      <c r="H38" s="24"/>
      <c r="I38" s="24"/>
    </row>
  </sheetData>
  <sheetProtection/>
  <mergeCells count="16">
    <mergeCell ref="G4:G5"/>
    <mergeCell ref="H4:H5"/>
    <mergeCell ref="I4:I5"/>
    <mergeCell ref="B6:H6"/>
    <mergeCell ref="B9:H9"/>
    <mergeCell ref="B13:H13"/>
    <mergeCell ref="A1:A2"/>
    <mergeCell ref="B1:I1"/>
    <mergeCell ref="B2:I2"/>
    <mergeCell ref="B3:I3"/>
    <mergeCell ref="J1:J2"/>
    <mergeCell ref="A4:A5"/>
    <mergeCell ref="B4:B5"/>
    <mergeCell ref="D4:D5"/>
    <mergeCell ref="E4:E5"/>
    <mergeCell ref="F4:F5"/>
  </mergeCell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B2" sqref="B2:L2"/>
    </sheetView>
  </sheetViews>
  <sheetFormatPr defaultColWidth="11.00390625" defaultRowHeight="12.75"/>
  <cols>
    <col min="1" max="1" width="6.00390625" style="0" customWidth="1"/>
    <col min="2" max="2" width="15.75390625" style="0" customWidth="1"/>
    <col min="3" max="3" width="21.875" style="0" customWidth="1"/>
    <col min="6" max="6" width="17.125" style="0" customWidth="1"/>
    <col min="7" max="7" width="15.00390625" style="0" customWidth="1"/>
    <col min="12" max="12" width="13.375" style="0" customWidth="1"/>
  </cols>
  <sheetData>
    <row r="1" spans="1:12" ht="51" customHeight="1">
      <c r="A1" s="77"/>
      <c r="B1" s="143" t="s">
        <v>801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30" thickBot="1">
      <c r="A2" s="77"/>
      <c r="B2" s="144" t="s">
        <v>802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3.5">
      <c r="A3" s="145" t="s">
        <v>561</v>
      </c>
      <c r="B3" s="147" t="s">
        <v>0</v>
      </c>
      <c r="C3" s="82" t="s">
        <v>691</v>
      </c>
      <c r="D3" s="149" t="s">
        <v>10</v>
      </c>
      <c r="E3" s="147" t="s">
        <v>693</v>
      </c>
      <c r="F3" s="147" t="s">
        <v>7</v>
      </c>
      <c r="G3" s="147" t="s">
        <v>583</v>
      </c>
      <c r="H3" s="157" t="s">
        <v>2</v>
      </c>
      <c r="I3" s="159"/>
      <c r="J3" s="147" t="s">
        <v>567</v>
      </c>
      <c r="K3" s="147" t="s">
        <v>6</v>
      </c>
      <c r="L3" s="153" t="s">
        <v>5</v>
      </c>
    </row>
    <row r="4" spans="1:12" ht="15" thickBot="1">
      <c r="A4" s="146"/>
      <c r="B4" s="148"/>
      <c r="C4" s="83" t="s">
        <v>692</v>
      </c>
      <c r="D4" s="150"/>
      <c r="E4" s="148"/>
      <c r="F4" s="148"/>
      <c r="G4" s="148"/>
      <c r="H4" s="110" t="s">
        <v>747</v>
      </c>
      <c r="I4" s="110" t="s">
        <v>748</v>
      </c>
      <c r="J4" s="148"/>
      <c r="K4" s="148"/>
      <c r="L4" s="154"/>
    </row>
    <row r="5" spans="2:12" ht="15.75">
      <c r="B5" s="155" t="s">
        <v>207</v>
      </c>
      <c r="C5" s="155"/>
      <c r="D5" s="155"/>
      <c r="E5" s="155"/>
      <c r="F5" s="155"/>
      <c r="G5" s="155"/>
      <c r="H5" s="155"/>
      <c r="I5" s="155"/>
      <c r="J5" s="155"/>
      <c r="K5" s="155"/>
      <c r="L5" s="24"/>
    </row>
    <row r="6" spans="1:12" ht="12.75">
      <c r="A6" s="36" t="s">
        <v>562</v>
      </c>
      <c r="B6" s="95" t="s">
        <v>213</v>
      </c>
      <c r="C6" s="95" t="s">
        <v>214</v>
      </c>
      <c r="D6" s="95" t="s">
        <v>215</v>
      </c>
      <c r="E6" s="95" t="s">
        <v>708</v>
      </c>
      <c r="F6" s="95" t="s">
        <v>216</v>
      </c>
      <c r="G6" s="95" t="s">
        <v>17</v>
      </c>
      <c r="H6" s="87" t="s">
        <v>709</v>
      </c>
      <c r="I6" s="87" t="s">
        <v>21</v>
      </c>
      <c r="J6" s="93" t="s">
        <v>803</v>
      </c>
      <c r="K6" s="95" t="s">
        <v>804</v>
      </c>
      <c r="L6" s="95" t="s">
        <v>217</v>
      </c>
    </row>
    <row r="7" spans="1:12" ht="12.75">
      <c r="A7" s="37"/>
      <c r="B7" s="24"/>
      <c r="C7" s="24"/>
      <c r="D7" s="24"/>
      <c r="E7" s="24"/>
      <c r="F7" s="24"/>
      <c r="G7" s="24"/>
      <c r="H7" s="24"/>
      <c r="I7" s="24"/>
      <c r="J7" s="37"/>
      <c r="K7" s="24"/>
      <c r="L7" s="24"/>
    </row>
    <row r="8" spans="1:12" ht="12.75">
      <c r="A8" s="37"/>
      <c r="B8" s="24"/>
      <c r="C8" s="24"/>
      <c r="D8" s="24"/>
      <c r="E8" s="24"/>
      <c r="F8" s="24"/>
      <c r="G8" s="24"/>
      <c r="H8" s="24"/>
      <c r="I8" s="24"/>
      <c r="J8" s="37"/>
      <c r="K8" s="24"/>
      <c r="L8" s="24"/>
    </row>
    <row r="9" spans="1:12" ht="12.75">
      <c r="A9" s="37"/>
      <c r="B9" s="24"/>
      <c r="C9" s="24"/>
      <c r="D9" s="24"/>
      <c r="E9" s="24"/>
      <c r="F9" s="24"/>
      <c r="G9" s="24"/>
      <c r="H9" s="24"/>
      <c r="I9" s="24"/>
      <c r="J9" s="37"/>
      <c r="K9" s="24"/>
      <c r="L9" s="24"/>
    </row>
    <row r="10" spans="1:12" ht="12.75">
      <c r="A10" s="37"/>
      <c r="B10" s="24"/>
      <c r="C10" s="24"/>
      <c r="D10" s="24"/>
      <c r="E10" s="24"/>
      <c r="F10" s="24"/>
      <c r="G10" s="24"/>
      <c r="H10" s="24"/>
      <c r="I10" s="24"/>
      <c r="J10" s="37"/>
      <c r="K10" s="24"/>
      <c r="L10" s="24"/>
    </row>
    <row r="11" spans="1:12" ht="12.75">
      <c r="A11" s="37"/>
      <c r="B11" s="24"/>
      <c r="C11" s="24"/>
      <c r="D11" s="24"/>
      <c r="E11" s="24"/>
      <c r="F11" s="24"/>
      <c r="G11" s="24"/>
      <c r="H11" s="24"/>
      <c r="I11" s="24"/>
      <c r="J11" s="37"/>
      <c r="K11" s="24"/>
      <c r="L11" s="24"/>
    </row>
    <row r="12" spans="1:12" ht="12.75">
      <c r="A12" s="37"/>
      <c r="B12" s="24"/>
      <c r="C12" s="24"/>
      <c r="D12" s="24"/>
      <c r="E12" s="24"/>
      <c r="F12" s="24"/>
      <c r="G12" s="24"/>
      <c r="H12" s="24"/>
      <c r="I12" s="24"/>
      <c r="J12" s="37"/>
      <c r="K12" s="24"/>
      <c r="L12" s="24"/>
    </row>
    <row r="13" spans="1:12" ht="12.75">
      <c r="A13" s="37"/>
      <c r="B13" s="24"/>
      <c r="C13" s="24"/>
      <c r="D13" s="24"/>
      <c r="E13" s="24"/>
      <c r="F13" s="24"/>
      <c r="G13" s="24"/>
      <c r="H13" s="24"/>
      <c r="I13" s="24"/>
      <c r="J13" s="37"/>
      <c r="K13" s="24"/>
      <c r="L13" s="24"/>
    </row>
  </sheetData>
  <sheetProtection/>
  <mergeCells count="13">
    <mergeCell ref="B1:L1"/>
    <mergeCell ref="B2:L2"/>
    <mergeCell ref="A3:A4"/>
    <mergeCell ref="B3:B4"/>
    <mergeCell ref="D3:D4"/>
    <mergeCell ref="E3:E4"/>
    <mergeCell ref="F3:F4"/>
    <mergeCell ref="G3:G4"/>
    <mergeCell ref="H3:I3"/>
    <mergeCell ref="J3:J4"/>
    <mergeCell ref="K3:K4"/>
    <mergeCell ref="L3:L4"/>
    <mergeCell ref="B5:K5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D4">
      <selection activeCell="G35" sqref="G35"/>
    </sheetView>
  </sheetViews>
  <sheetFormatPr defaultColWidth="11.00390625" defaultRowHeight="12.75"/>
  <cols>
    <col min="1" max="1" width="7.00390625" style="0" customWidth="1"/>
    <col min="2" max="2" width="18.00390625" style="0" customWidth="1"/>
    <col min="3" max="3" width="23.75390625" style="0" customWidth="1"/>
    <col min="6" max="6" width="23.875" style="0" customWidth="1"/>
    <col min="7" max="7" width="27.00390625" style="0" customWidth="1"/>
    <col min="12" max="12" width="14.75390625" style="0" customWidth="1"/>
  </cols>
  <sheetData>
    <row r="1" spans="1:12" ht="57.75" customHeight="1">
      <c r="A1" s="77"/>
      <c r="B1" s="143" t="s">
        <v>746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30" thickBot="1">
      <c r="A2" s="77"/>
      <c r="B2" s="144" t="s">
        <v>690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3.5">
      <c r="A3" s="145" t="s">
        <v>561</v>
      </c>
      <c r="B3" s="147" t="s">
        <v>0</v>
      </c>
      <c r="C3" s="82" t="s">
        <v>691</v>
      </c>
      <c r="D3" s="149" t="s">
        <v>10</v>
      </c>
      <c r="E3" s="147" t="s">
        <v>693</v>
      </c>
      <c r="F3" s="147" t="s">
        <v>7</v>
      </c>
      <c r="G3" s="147" t="s">
        <v>583</v>
      </c>
      <c r="H3" s="157" t="s">
        <v>2</v>
      </c>
      <c r="I3" s="159"/>
      <c r="J3" s="147" t="s">
        <v>567</v>
      </c>
      <c r="K3" s="147" t="s">
        <v>6</v>
      </c>
      <c r="L3" s="153" t="s">
        <v>5</v>
      </c>
    </row>
    <row r="4" spans="1:12" ht="15" thickBot="1">
      <c r="A4" s="146"/>
      <c r="B4" s="148"/>
      <c r="C4" s="83" t="s">
        <v>692</v>
      </c>
      <c r="D4" s="150"/>
      <c r="E4" s="148"/>
      <c r="F4" s="148"/>
      <c r="G4" s="148"/>
      <c r="H4" s="110" t="s">
        <v>747</v>
      </c>
      <c r="I4" s="110" t="s">
        <v>748</v>
      </c>
      <c r="J4" s="148"/>
      <c r="K4" s="148"/>
      <c r="L4" s="154"/>
    </row>
    <row r="5" spans="1:12" ht="15.75">
      <c r="A5" s="77"/>
      <c r="B5" s="155" t="s">
        <v>62</v>
      </c>
      <c r="C5" s="155"/>
      <c r="D5" s="155"/>
      <c r="E5" s="155"/>
      <c r="F5" s="155"/>
      <c r="G5" s="155"/>
      <c r="H5" s="155"/>
      <c r="I5" s="155"/>
      <c r="J5" s="155"/>
      <c r="K5" s="155"/>
      <c r="L5" s="85"/>
    </row>
    <row r="6" spans="1:12" ht="12.75">
      <c r="A6" s="47" t="s">
        <v>562</v>
      </c>
      <c r="B6" s="111" t="s">
        <v>273</v>
      </c>
      <c r="C6" s="112" t="s">
        <v>274</v>
      </c>
      <c r="D6" s="113" t="s">
        <v>280</v>
      </c>
      <c r="E6" s="112" t="s">
        <v>733</v>
      </c>
      <c r="F6" s="111" t="s">
        <v>16</v>
      </c>
      <c r="G6" s="95" t="s">
        <v>749</v>
      </c>
      <c r="H6" s="112" t="s">
        <v>46</v>
      </c>
      <c r="I6" s="112" t="s">
        <v>750</v>
      </c>
      <c r="J6" s="104" t="s">
        <v>751</v>
      </c>
      <c r="K6" s="112" t="s">
        <v>752</v>
      </c>
      <c r="L6" s="111" t="s">
        <v>40</v>
      </c>
    </row>
    <row r="7" spans="1:12" ht="12.75">
      <c r="A7" s="36" t="s">
        <v>570</v>
      </c>
      <c r="B7" s="86" t="s">
        <v>278</v>
      </c>
      <c r="C7" s="87" t="s">
        <v>279</v>
      </c>
      <c r="D7" s="88" t="s">
        <v>280</v>
      </c>
      <c r="E7" s="87" t="s">
        <v>733</v>
      </c>
      <c r="F7" s="86" t="s">
        <v>134</v>
      </c>
      <c r="G7" s="114" t="s">
        <v>281</v>
      </c>
      <c r="H7" s="87" t="s">
        <v>46</v>
      </c>
      <c r="I7" s="87" t="s">
        <v>234</v>
      </c>
      <c r="J7" s="93" t="s">
        <v>753</v>
      </c>
      <c r="K7" s="87" t="s">
        <v>754</v>
      </c>
      <c r="L7" s="86" t="s">
        <v>283</v>
      </c>
    </row>
    <row r="8" spans="1:12" ht="12.75">
      <c r="A8" s="48" t="s">
        <v>562</v>
      </c>
      <c r="B8" s="114" t="s">
        <v>755</v>
      </c>
      <c r="C8" s="115" t="s">
        <v>756</v>
      </c>
      <c r="D8" s="116" t="s">
        <v>757</v>
      </c>
      <c r="E8" s="115" t="s">
        <v>758</v>
      </c>
      <c r="F8" s="114" t="s">
        <v>16</v>
      </c>
      <c r="G8" s="114" t="s">
        <v>759</v>
      </c>
      <c r="H8" s="115" t="s">
        <v>369</v>
      </c>
      <c r="I8" s="115" t="s">
        <v>760</v>
      </c>
      <c r="J8" s="109" t="s">
        <v>761</v>
      </c>
      <c r="K8" s="115" t="s">
        <v>762</v>
      </c>
      <c r="L8" s="114" t="s">
        <v>40</v>
      </c>
    </row>
    <row r="9" spans="1:12" ht="12.75">
      <c r="A9" s="37"/>
      <c r="B9" s="85"/>
      <c r="C9" s="77"/>
      <c r="D9" s="94"/>
      <c r="E9" s="77"/>
      <c r="F9" s="85"/>
      <c r="G9" s="85"/>
      <c r="H9" s="77"/>
      <c r="I9" s="77"/>
      <c r="J9" s="37"/>
      <c r="K9" s="77"/>
      <c r="L9" s="85"/>
    </row>
    <row r="10" spans="1:12" ht="15.75">
      <c r="A10" s="77"/>
      <c r="B10" s="155" t="s">
        <v>85</v>
      </c>
      <c r="C10" s="155"/>
      <c r="D10" s="155"/>
      <c r="E10" s="155"/>
      <c r="F10" s="155"/>
      <c r="G10" s="155"/>
      <c r="H10" s="155"/>
      <c r="I10" s="155"/>
      <c r="J10" s="155"/>
      <c r="K10" s="155"/>
      <c r="L10" s="85"/>
    </row>
    <row r="11" spans="1:12" ht="12.75">
      <c r="A11" s="47" t="s">
        <v>562</v>
      </c>
      <c r="B11" s="111" t="s">
        <v>763</v>
      </c>
      <c r="C11" s="112" t="s">
        <v>284</v>
      </c>
      <c r="D11" s="113" t="s">
        <v>764</v>
      </c>
      <c r="E11" s="112" t="s">
        <v>765</v>
      </c>
      <c r="F11" s="111" t="s">
        <v>16</v>
      </c>
      <c r="G11" s="111" t="s">
        <v>17</v>
      </c>
      <c r="H11" s="112" t="s">
        <v>372</v>
      </c>
      <c r="I11" s="112" t="s">
        <v>766</v>
      </c>
      <c r="J11" s="104" t="s">
        <v>767</v>
      </c>
      <c r="K11" s="112" t="s">
        <v>768</v>
      </c>
      <c r="L11" s="86" t="s">
        <v>40</v>
      </c>
    </row>
    <row r="12" spans="1:12" ht="12.75">
      <c r="A12" s="36" t="s">
        <v>570</v>
      </c>
      <c r="B12" s="86" t="s">
        <v>769</v>
      </c>
      <c r="C12" s="87" t="s">
        <v>770</v>
      </c>
      <c r="D12" s="88" t="s">
        <v>771</v>
      </c>
      <c r="E12" s="87" t="s">
        <v>772</v>
      </c>
      <c r="F12" s="86" t="s">
        <v>16</v>
      </c>
      <c r="G12" s="95" t="s">
        <v>749</v>
      </c>
      <c r="H12" s="87" t="s">
        <v>472</v>
      </c>
      <c r="I12" s="87" t="s">
        <v>929</v>
      </c>
      <c r="J12" s="93" t="s">
        <v>773</v>
      </c>
      <c r="K12" s="87" t="s">
        <v>774</v>
      </c>
      <c r="L12" s="114" t="s">
        <v>40</v>
      </c>
    </row>
    <row r="13" spans="1:12" ht="12.75">
      <c r="A13" s="117" t="s">
        <v>572</v>
      </c>
      <c r="B13" s="118" t="s">
        <v>775</v>
      </c>
      <c r="C13" s="119" t="s">
        <v>288</v>
      </c>
      <c r="D13" s="120" t="s">
        <v>289</v>
      </c>
      <c r="E13" s="119" t="s">
        <v>776</v>
      </c>
      <c r="F13" s="118" t="s">
        <v>134</v>
      </c>
      <c r="G13" s="118" t="s">
        <v>281</v>
      </c>
      <c r="H13" s="119" t="s">
        <v>372</v>
      </c>
      <c r="I13" s="119" t="s">
        <v>236</v>
      </c>
      <c r="J13" s="121" t="s">
        <v>777</v>
      </c>
      <c r="K13" s="119" t="s">
        <v>778</v>
      </c>
      <c r="L13" s="118" t="s">
        <v>283</v>
      </c>
    </row>
    <row r="14" spans="1:12" ht="12.75">
      <c r="A14" s="36" t="s">
        <v>599</v>
      </c>
      <c r="B14" s="86" t="s">
        <v>779</v>
      </c>
      <c r="C14" s="87" t="s">
        <v>349</v>
      </c>
      <c r="D14" s="88" t="s">
        <v>350</v>
      </c>
      <c r="E14" s="87" t="s">
        <v>737</v>
      </c>
      <c r="F14" s="86" t="s">
        <v>16</v>
      </c>
      <c r="G14" s="86" t="s">
        <v>17</v>
      </c>
      <c r="H14" s="87" t="s">
        <v>372</v>
      </c>
      <c r="I14" s="87" t="s">
        <v>780</v>
      </c>
      <c r="J14" s="93" t="s">
        <v>781</v>
      </c>
      <c r="K14" s="87" t="s">
        <v>782</v>
      </c>
      <c r="L14" s="86" t="s">
        <v>40</v>
      </c>
    </row>
    <row r="15" spans="1:12" ht="12.75">
      <c r="A15" s="37"/>
      <c r="B15" s="85"/>
      <c r="C15" s="77"/>
      <c r="D15" s="94"/>
      <c r="E15" s="77"/>
      <c r="F15" s="85"/>
      <c r="G15" s="85"/>
      <c r="H15" s="77"/>
      <c r="I15" s="77"/>
      <c r="J15" s="37"/>
      <c r="K15" s="77"/>
      <c r="L15" s="85"/>
    </row>
    <row r="16" spans="1:12" ht="15.75">
      <c r="A16" s="77"/>
      <c r="B16" s="155" t="s">
        <v>115</v>
      </c>
      <c r="C16" s="155"/>
      <c r="D16" s="155"/>
      <c r="E16" s="155"/>
      <c r="F16" s="155"/>
      <c r="G16" s="155"/>
      <c r="H16" s="155"/>
      <c r="I16" s="155"/>
      <c r="J16" s="155"/>
      <c r="K16" s="155"/>
      <c r="L16" s="85"/>
    </row>
    <row r="17" spans="1:12" ht="12.75">
      <c r="A17" s="36" t="s">
        <v>562</v>
      </c>
      <c r="B17" s="86" t="s">
        <v>783</v>
      </c>
      <c r="C17" s="87" t="s">
        <v>308</v>
      </c>
      <c r="D17" s="88" t="s">
        <v>309</v>
      </c>
      <c r="E17" s="87" t="s">
        <v>784</v>
      </c>
      <c r="F17" s="86" t="s">
        <v>310</v>
      </c>
      <c r="G17" s="86" t="s">
        <v>17</v>
      </c>
      <c r="H17" s="87" t="s">
        <v>102</v>
      </c>
      <c r="I17" s="87" t="s">
        <v>785</v>
      </c>
      <c r="J17" s="93" t="s">
        <v>786</v>
      </c>
      <c r="K17" s="87" t="s">
        <v>787</v>
      </c>
      <c r="L17" s="86" t="s">
        <v>311</v>
      </c>
    </row>
    <row r="18" spans="1:12" ht="12.75">
      <c r="A18" s="37"/>
      <c r="B18" s="85"/>
      <c r="C18" s="77"/>
      <c r="D18" s="94"/>
      <c r="E18" s="77"/>
      <c r="F18" s="85"/>
      <c r="G18" s="85"/>
      <c r="H18" s="77"/>
      <c r="I18" s="77"/>
      <c r="J18" s="37"/>
      <c r="K18" s="77"/>
      <c r="L18" s="85"/>
    </row>
    <row r="19" spans="1:12" ht="15.75">
      <c r="A19" s="77"/>
      <c r="B19" s="155" t="s">
        <v>138</v>
      </c>
      <c r="C19" s="155"/>
      <c r="D19" s="155"/>
      <c r="E19" s="155"/>
      <c r="F19" s="155"/>
      <c r="G19" s="155"/>
      <c r="H19" s="155"/>
      <c r="I19" s="155"/>
      <c r="J19" s="155"/>
      <c r="K19" s="155"/>
      <c r="L19" s="85"/>
    </row>
    <row r="20" spans="1:12" ht="12.75">
      <c r="A20" s="36" t="s">
        <v>562</v>
      </c>
      <c r="B20" s="86" t="s">
        <v>788</v>
      </c>
      <c r="C20" s="87" t="s">
        <v>308</v>
      </c>
      <c r="D20" s="88" t="s">
        <v>320</v>
      </c>
      <c r="E20" s="87" t="s">
        <v>789</v>
      </c>
      <c r="F20" s="86" t="s">
        <v>310</v>
      </c>
      <c r="G20" s="86" t="s">
        <v>17</v>
      </c>
      <c r="H20" s="87" t="s">
        <v>248</v>
      </c>
      <c r="I20" s="87" t="s">
        <v>790</v>
      </c>
      <c r="J20" s="93" t="s">
        <v>791</v>
      </c>
      <c r="K20" s="87" t="s">
        <v>792</v>
      </c>
      <c r="L20" s="86" t="s">
        <v>322</v>
      </c>
    </row>
    <row r="21" spans="1:12" ht="12.75">
      <c r="A21" s="37"/>
      <c r="B21" s="85"/>
      <c r="C21" s="77"/>
      <c r="D21" s="94"/>
      <c r="E21" s="77"/>
      <c r="F21" s="85"/>
      <c r="G21" s="85"/>
      <c r="H21" s="77"/>
      <c r="I21" s="77"/>
      <c r="J21" s="37"/>
      <c r="K21" s="77"/>
      <c r="L21" s="85"/>
    </row>
    <row r="22" spans="1:12" ht="15.75">
      <c r="A22" s="77"/>
      <c r="B22" s="155" t="s">
        <v>163</v>
      </c>
      <c r="C22" s="155"/>
      <c r="D22" s="155"/>
      <c r="E22" s="155"/>
      <c r="F22" s="155"/>
      <c r="G22" s="155"/>
      <c r="H22" s="155"/>
      <c r="I22" s="155"/>
      <c r="J22" s="155"/>
      <c r="K22" s="155"/>
      <c r="L22" s="85"/>
    </row>
    <row r="23" spans="1:12" ht="12.75">
      <c r="A23" s="36" t="s">
        <v>562</v>
      </c>
      <c r="B23" s="86" t="s">
        <v>793</v>
      </c>
      <c r="C23" s="87" t="s">
        <v>335</v>
      </c>
      <c r="D23" s="88" t="s">
        <v>336</v>
      </c>
      <c r="E23" s="87" t="s">
        <v>794</v>
      </c>
      <c r="F23" s="86" t="s">
        <v>134</v>
      </c>
      <c r="G23" s="86" t="s">
        <v>135</v>
      </c>
      <c r="H23" s="87" t="s">
        <v>89</v>
      </c>
      <c r="I23" s="87" t="s">
        <v>785</v>
      </c>
      <c r="J23" s="93" t="s">
        <v>795</v>
      </c>
      <c r="K23" s="87" t="s">
        <v>796</v>
      </c>
      <c r="L23" s="86" t="s">
        <v>338</v>
      </c>
    </row>
    <row r="24" spans="1:12" ht="12.75">
      <c r="A24" s="37"/>
      <c r="B24" s="85"/>
      <c r="C24" s="77"/>
      <c r="D24" s="94"/>
      <c r="E24" s="77"/>
      <c r="F24" s="85"/>
      <c r="G24" s="85"/>
      <c r="H24" s="77"/>
      <c r="I24" s="77"/>
      <c r="J24" s="37"/>
      <c r="K24" s="77"/>
      <c r="L24" s="85"/>
    </row>
    <row r="25" spans="1:12" ht="15.75">
      <c r="A25" s="37"/>
      <c r="B25" s="85"/>
      <c r="C25" s="77"/>
      <c r="D25" s="94"/>
      <c r="E25" s="77"/>
      <c r="F25" s="122"/>
      <c r="G25" s="85"/>
      <c r="H25" s="77"/>
      <c r="I25" s="77"/>
      <c r="J25" s="37"/>
      <c r="K25" s="77"/>
      <c r="L25" s="85"/>
    </row>
    <row r="26" spans="1:12" ht="18">
      <c r="A26" s="37"/>
      <c r="B26" s="123" t="s">
        <v>183</v>
      </c>
      <c r="C26" s="124"/>
      <c r="D26" s="94"/>
      <c r="E26" s="77"/>
      <c r="F26" s="85"/>
      <c r="G26" s="85"/>
      <c r="H26" s="77"/>
      <c r="I26" s="77"/>
      <c r="J26" s="37"/>
      <c r="K26" s="77"/>
      <c r="L26" s="85"/>
    </row>
    <row r="27" spans="1:12" ht="15.75">
      <c r="A27" s="37"/>
      <c r="B27" s="125" t="s">
        <v>195</v>
      </c>
      <c r="C27" s="70"/>
      <c r="D27" s="94"/>
      <c r="E27" s="77"/>
      <c r="F27" s="85"/>
      <c r="G27" s="85"/>
      <c r="H27" s="77"/>
      <c r="I27" s="77"/>
      <c r="J27" s="37"/>
      <c r="K27" s="77"/>
      <c r="L27" s="85"/>
    </row>
    <row r="28" spans="1:12" ht="13.5">
      <c r="A28" s="37"/>
      <c r="B28" s="34" t="s">
        <v>192</v>
      </c>
      <c r="C28" s="78"/>
      <c r="D28" s="94"/>
      <c r="E28" s="77"/>
      <c r="F28" s="85"/>
      <c r="G28" s="85"/>
      <c r="H28" s="77"/>
      <c r="I28" s="77"/>
      <c r="J28" s="37"/>
      <c r="K28" s="77"/>
      <c r="L28" s="85"/>
    </row>
    <row r="29" spans="1:12" ht="13.5">
      <c r="A29" s="37"/>
      <c r="B29" s="126" t="s">
        <v>186</v>
      </c>
      <c r="C29" s="127" t="s">
        <v>187</v>
      </c>
      <c r="D29" s="128" t="s">
        <v>188</v>
      </c>
      <c r="E29" s="127" t="s">
        <v>189</v>
      </c>
      <c r="F29" s="127" t="s">
        <v>797</v>
      </c>
      <c r="G29" s="85"/>
      <c r="H29" s="77"/>
      <c r="I29" s="77"/>
      <c r="J29" s="37"/>
      <c r="K29" s="77"/>
      <c r="L29" s="85"/>
    </row>
    <row r="30" spans="1:12" ht="12.75">
      <c r="A30" s="37" t="s">
        <v>562</v>
      </c>
      <c r="B30" s="33" t="s">
        <v>763</v>
      </c>
      <c r="C30" s="77" t="s">
        <v>192</v>
      </c>
      <c r="D30" s="94" t="s">
        <v>202</v>
      </c>
      <c r="E30" s="77" t="s">
        <v>798</v>
      </c>
      <c r="F30" s="37" t="s">
        <v>768</v>
      </c>
      <c r="G30" s="85"/>
      <c r="H30" s="77"/>
      <c r="I30" s="77"/>
      <c r="J30" s="37"/>
      <c r="K30" s="77"/>
      <c r="L30" s="85"/>
    </row>
    <row r="31" spans="1:12" ht="12.75">
      <c r="A31" s="37" t="s">
        <v>570</v>
      </c>
      <c r="B31" s="33" t="s">
        <v>788</v>
      </c>
      <c r="C31" s="77" t="s">
        <v>192</v>
      </c>
      <c r="D31" s="94" t="s">
        <v>203</v>
      </c>
      <c r="E31" s="77" t="s">
        <v>799</v>
      </c>
      <c r="F31" s="37" t="s">
        <v>792</v>
      </c>
      <c r="G31" s="85"/>
      <c r="H31" s="77"/>
      <c r="I31" s="77"/>
      <c r="J31" s="37"/>
      <c r="K31" s="77"/>
      <c r="L31" s="85"/>
    </row>
    <row r="32" spans="1:12" ht="12.75">
      <c r="A32" s="37" t="s">
        <v>572</v>
      </c>
      <c r="B32" s="33" t="s">
        <v>769</v>
      </c>
      <c r="C32" s="77" t="s">
        <v>192</v>
      </c>
      <c r="D32" s="94" t="s">
        <v>202</v>
      </c>
      <c r="E32" s="77" t="s">
        <v>800</v>
      </c>
      <c r="F32" s="37" t="s">
        <v>774</v>
      </c>
      <c r="G32" s="85"/>
      <c r="H32" s="77"/>
      <c r="I32" s="77"/>
      <c r="J32" s="37"/>
      <c r="K32" s="77"/>
      <c r="L32" s="85"/>
    </row>
    <row r="33" spans="1:12" ht="12.75">
      <c r="A33" s="37"/>
      <c r="B33" s="85"/>
      <c r="C33" s="77"/>
      <c r="D33" s="94"/>
      <c r="E33" s="77"/>
      <c r="F33" s="85"/>
      <c r="G33" s="85"/>
      <c r="H33" s="77"/>
      <c r="I33" s="77"/>
      <c r="J33" s="37"/>
      <c r="K33" s="77"/>
      <c r="L33" s="85"/>
    </row>
    <row r="34" spans="1:12" ht="12.75">
      <c r="A34" s="37"/>
      <c r="B34" s="85"/>
      <c r="C34" s="77"/>
      <c r="D34" s="94"/>
      <c r="E34" s="77"/>
      <c r="F34" s="85"/>
      <c r="G34" s="85"/>
      <c r="H34" s="77"/>
      <c r="I34" s="77"/>
      <c r="J34" s="37"/>
      <c r="K34" s="77"/>
      <c r="L34" s="85"/>
    </row>
    <row r="35" spans="1:12" ht="12.75">
      <c r="A35" s="37"/>
      <c r="B35" s="85"/>
      <c r="C35" s="77"/>
      <c r="D35" s="94"/>
      <c r="E35" s="77"/>
      <c r="F35" s="85"/>
      <c r="G35" s="85"/>
      <c r="H35" s="77"/>
      <c r="I35" s="77"/>
      <c r="J35" s="37"/>
      <c r="K35" s="77"/>
      <c r="L35" s="85"/>
    </row>
    <row r="36" spans="1:12" ht="12.75">
      <c r="A36" s="37"/>
      <c r="B36" s="85"/>
      <c r="C36" s="77"/>
      <c r="D36" s="94"/>
      <c r="E36" s="77"/>
      <c r="F36" s="85"/>
      <c r="G36" s="85"/>
      <c r="H36" s="77"/>
      <c r="I36" s="77"/>
      <c r="J36" s="37"/>
      <c r="K36" s="77"/>
      <c r="L36" s="85"/>
    </row>
    <row r="37" spans="1:12" ht="12.75">
      <c r="A37" s="37"/>
      <c r="B37" s="85"/>
      <c r="C37" s="77"/>
      <c r="D37" s="94"/>
      <c r="E37" s="77"/>
      <c r="F37" s="85"/>
      <c r="G37" s="85"/>
      <c r="H37" s="77"/>
      <c r="I37" s="77"/>
      <c r="J37" s="37"/>
      <c r="K37" s="77"/>
      <c r="L37" s="85"/>
    </row>
    <row r="38" spans="1:12" ht="12.75">
      <c r="A38" s="37"/>
      <c r="B38" s="85"/>
      <c r="C38" s="77"/>
      <c r="D38" s="94"/>
      <c r="E38" s="77"/>
      <c r="F38" s="85"/>
      <c r="G38" s="85"/>
      <c r="H38" s="77"/>
      <c r="I38" s="77"/>
      <c r="J38" s="37"/>
      <c r="K38" s="77"/>
      <c r="L38" s="85"/>
    </row>
  </sheetData>
  <sheetProtection/>
  <mergeCells count="17">
    <mergeCell ref="B1:L1"/>
    <mergeCell ref="B2:L2"/>
    <mergeCell ref="A3:A4"/>
    <mergeCell ref="B3:B4"/>
    <mergeCell ref="D3:D4"/>
    <mergeCell ref="E3:E4"/>
    <mergeCell ref="F3:F4"/>
    <mergeCell ref="G3:G4"/>
    <mergeCell ref="H3:I3"/>
    <mergeCell ref="J3:J4"/>
    <mergeCell ref="B22:K22"/>
    <mergeCell ref="K3:K4"/>
    <mergeCell ref="L3:L4"/>
    <mergeCell ref="B5:K5"/>
    <mergeCell ref="B10:K10"/>
    <mergeCell ref="B16:K16"/>
    <mergeCell ref="B19:K19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H42" sqref="H42"/>
    </sheetView>
  </sheetViews>
  <sheetFormatPr defaultColWidth="11.00390625" defaultRowHeight="12.75"/>
  <cols>
    <col min="1" max="1" width="7.125" style="0" customWidth="1"/>
    <col min="2" max="2" width="17.625" style="0" customWidth="1"/>
    <col min="3" max="3" width="24.125" style="0" customWidth="1"/>
    <col min="7" max="7" width="28.25390625" style="0" customWidth="1"/>
    <col min="12" max="12" width="27.375" style="0" customWidth="1"/>
  </cols>
  <sheetData>
    <row r="1" spans="1:12" ht="43.5" customHeight="1">
      <c r="A1" s="77"/>
      <c r="B1" s="143" t="s">
        <v>846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3.5" thickBot="1">
      <c r="A2" s="77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3.5">
      <c r="A3" s="145" t="s">
        <v>561</v>
      </c>
      <c r="B3" s="147" t="s">
        <v>0</v>
      </c>
      <c r="C3" s="82" t="s">
        <v>691</v>
      </c>
      <c r="D3" s="149" t="s">
        <v>10</v>
      </c>
      <c r="E3" s="147" t="s">
        <v>693</v>
      </c>
      <c r="F3" s="147" t="s">
        <v>7</v>
      </c>
      <c r="G3" s="147" t="s">
        <v>583</v>
      </c>
      <c r="H3" s="157" t="s">
        <v>2</v>
      </c>
      <c r="I3" s="159"/>
      <c r="J3" s="147" t="s">
        <v>567</v>
      </c>
      <c r="K3" s="147" t="s">
        <v>6</v>
      </c>
      <c r="L3" s="153" t="s">
        <v>5</v>
      </c>
    </row>
    <row r="4" spans="1:12" ht="15" thickBot="1">
      <c r="A4" s="146"/>
      <c r="B4" s="148"/>
      <c r="C4" s="83" t="s">
        <v>692</v>
      </c>
      <c r="D4" s="150"/>
      <c r="E4" s="148"/>
      <c r="F4" s="148"/>
      <c r="G4" s="148"/>
      <c r="H4" s="110" t="s">
        <v>747</v>
      </c>
      <c r="I4" s="110" t="s">
        <v>748</v>
      </c>
      <c r="J4" s="148"/>
      <c r="K4" s="148"/>
      <c r="L4" s="154"/>
    </row>
    <row r="5" spans="2:12" ht="15.75">
      <c r="B5" s="155" t="s">
        <v>24</v>
      </c>
      <c r="C5" s="155"/>
      <c r="D5" s="155"/>
      <c r="E5" s="155"/>
      <c r="F5" s="155"/>
      <c r="G5" s="155"/>
      <c r="H5" s="155"/>
      <c r="I5" s="155"/>
      <c r="J5" s="155"/>
      <c r="K5" s="155"/>
      <c r="L5" s="24"/>
    </row>
    <row r="6" spans="1:12" ht="12.75">
      <c r="A6" s="36" t="s">
        <v>562</v>
      </c>
      <c r="B6" s="95" t="s">
        <v>25</v>
      </c>
      <c r="C6" s="95" t="s">
        <v>26</v>
      </c>
      <c r="D6" s="95" t="s">
        <v>27</v>
      </c>
      <c r="E6" s="95" t="s">
        <v>697</v>
      </c>
      <c r="F6" s="95" t="s">
        <v>16</v>
      </c>
      <c r="G6" s="95" t="s">
        <v>28</v>
      </c>
      <c r="H6" s="87" t="s">
        <v>365</v>
      </c>
      <c r="I6" s="87" t="s">
        <v>780</v>
      </c>
      <c r="J6" s="93" t="s">
        <v>805</v>
      </c>
      <c r="K6" s="95" t="s">
        <v>806</v>
      </c>
      <c r="L6" s="95" t="s">
        <v>33</v>
      </c>
    </row>
    <row r="7" spans="1:12" ht="12.75">
      <c r="A7" s="37"/>
      <c r="B7" s="24"/>
      <c r="C7" s="24"/>
      <c r="D7" s="24"/>
      <c r="E7" s="24"/>
      <c r="F7" s="24"/>
      <c r="G7" s="24"/>
      <c r="H7" s="24"/>
      <c r="I7" s="24"/>
      <c r="J7" s="37"/>
      <c r="K7" s="24"/>
      <c r="L7" s="24"/>
    </row>
    <row r="8" spans="2:12" ht="15.75">
      <c r="B8" s="155" t="s">
        <v>34</v>
      </c>
      <c r="C8" s="155"/>
      <c r="D8" s="155"/>
      <c r="E8" s="155"/>
      <c r="F8" s="155"/>
      <c r="G8" s="155"/>
      <c r="H8" s="155"/>
      <c r="I8" s="155"/>
      <c r="J8" s="155"/>
      <c r="K8" s="155"/>
      <c r="L8" s="24"/>
    </row>
    <row r="9" spans="1:12" ht="12.75">
      <c r="A9" s="36"/>
      <c r="B9" s="95" t="s">
        <v>35</v>
      </c>
      <c r="C9" s="95" t="s">
        <v>36</v>
      </c>
      <c r="D9" s="95" t="s">
        <v>37</v>
      </c>
      <c r="E9" s="95" t="s">
        <v>807</v>
      </c>
      <c r="F9" s="95" t="s">
        <v>16</v>
      </c>
      <c r="G9" s="95" t="s">
        <v>589</v>
      </c>
      <c r="H9" s="92" t="s">
        <v>45</v>
      </c>
      <c r="I9" s="92"/>
      <c r="J9" s="93" t="s">
        <v>571</v>
      </c>
      <c r="K9" s="87" t="s">
        <v>571</v>
      </c>
      <c r="L9" s="95" t="s">
        <v>40</v>
      </c>
    </row>
    <row r="10" spans="1:12" ht="12.75">
      <c r="A10" s="37"/>
      <c r="B10" s="24"/>
      <c r="C10" s="24"/>
      <c r="D10" s="24"/>
      <c r="E10" s="24"/>
      <c r="F10" s="24"/>
      <c r="G10" s="24"/>
      <c r="H10" s="24"/>
      <c r="I10" s="24"/>
      <c r="J10" s="37"/>
      <c r="K10" s="24"/>
      <c r="L10" s="24"/>
    </row>
    <row r="11" spans="2:12" ht="15.75">
      <c r="B11" s="155" t="s">
        <v>34</v>
      </c>
      <c r="C11" s="155"/>
      <c r="D11" s="155"/>
      <c r="E11" s="155"/>
      <c r="F11" s="155"/>
      <c r="G11" s="155"/>
      <c r="H11" s="155"/>
      <c r="I11" s="155"/>
      <c r="J11" s="155"/>
      <c r="K11" s="155"/>
      <c r="L11" s="24"/>
    </row>
    <row r="12" spans="1:12" ht="12.75">
      <c r="A12" s="47" t="s">
        <v>562</v>
      </c>
      <c r="B12" s="100" t="s">
        <v>808</v>
      </c>
      <c r="C12" s="100" t="s">
        <v>809</v>
      </c>
      <c r="D12" s="100" t="s">
        <v>810</v>
      </c>
      <c r="E12" s="100" t="s">
        <v>811</v>
      </c>
      <c r="F12" s="100" t="s">
        <v>95</v>
      </c>
      <c r="G12" s="100" t="s">
        <v>17</v>
      </c>
      <c r="H12" s="112" t="s">
        <v>358</v>
      </c>
      <c r="I12" s="112" t="s">
        <v>812</v>
      </c>
      <c r="J12" s="104" t="s">
        <v>813</v>
      </c>
      <c r="K12" s="100" t="s">
        <v>814</v>
      </c>
      <c r="L12" s="100" t="s">
        <v>40</v>
      </c>
    </row>
    <row r="13" spans="1:12" ht="12.75">
      <c r="A13" s="36" t="s">
        <v>562</v>
      </c>
      <c r="B13" s="95" t="s">
        <v>808</v>
      </c>
      <c r="C13" s="95" t="s">
        <v>815</v>
      </c>
      <c r="D13" s="95" t="s">
        <v>810</v>
      </c>
      <c r="E13" s="95" t="s">
        <v>811</v>
      </c>
      <c r="F13" s="95" t="s">
        <v>95</v>
      </c>
      <c r="G13" s="95" t="s">
        <v>17</v>
      </c>
      <c r="H13" s="87" t="s">
        <v>358</v>
      </c>
      <c r="I13" s="87" t="s">
        <v>812</v>
      </c>
      <c r="J13" s="93" t="s">
        <v>813</v>
      </c>
      <c r="K13" s="95" t="s">
        <v>816</v>
      </c>
      <c r="L13" s="95" t="s">
        <v>40</v>
      </c>
    </row>
    <row r="14" spans="1:12" ht="12.75">
      <c r="A14" s="37"/>
      <c r="B14" s="24"/>
      <c r="C14" s="24"/>
      <c r="D14" s="24"/>
      <c r="E14" s="24"/>
      <c r="F14" s="24"/>
      <c r="G14" s="24"/>
      <c r="H14" s="24"/>
      <c r="I14" s="24"/>
      <c r="J14" s="37"/>
      <c r="K14" s="24"/>
      <c r="L14" s="24"/>
    </row>
    <row r="15" spans="2:12" ht="15.75">
      <c r="B15" s="155" t="s">
        <v>62</v>
      </c>
      <c r="C15" s="155"/>
      <c r="D15" s="155"/>
      <c r="E15" s="155"/>
      <c r="F15" s="155"/>
      <c r="G15" s="155"/>
      <c r="H15" s="155"/>
      <c r="I15" s="155"/>
      <c r="J15" s="155"/>
      <c r="K15" s="155"/>
      <c r="L15" s="24"/>
    </row>
    <row r="16" spans="1:12" ht="12.75">
      <c r="A16" s="36" t="s">
        <v>562</v>
      </c>
      <c r="B16" s="95" t="s">
        <v>74</v>
      </c>
      <c r="C16" s="95" t="s">
        <v>75</v>
      </c>
      <c r="D16" s="95" t="s">
        <v>76</v>
      </c>
      <c r="E16" s="95" t="s">
        <v>817</v>
      </c>
      <c r="F16" s="95" t="s">
        <v>77</v>
      </c>
      <c r="G16" s="95" t="s">
        <v>749</v>
      </c>
      <c r="H16" s="87" t="s">
        <v>46</v>
      </c>
      <c r="I16" s="87" t="s">
        <v>478</v>
      </c>
      <c r="J16" s="93" t="s">
        <v>818</v>
      </c>
      <c r="K16" s="95" t="s">
        <v>819</v>
      </c>
      <c r="L16" s="95" t="s">
        <v>820</v>
      </c>
    </row>
    <row r="17" spans="1:12" ht="12.75">
      <c r="A17" s="37"/>
      <c r="B17" s="24"/>
      <c r="C17" s="24"/>
      <c r="D17" s="24"/>
      <c r="E17" s="24"/>
      <c r="F17" s="24"/>
      <c r="G17" s="24"/>
      <c r="H17" s="24"/>
      <c r="I17" s="24"/>
      <c r="J17" s="37"/>
      <c r="K17" s="24"/>
      <c r="L17" s="24"/>
    </row>
    <row r="18" spans="2:12" ht="15.75">
      <c r="B18" s="155" t="s">
        <v>85</v>
      </c>
      <c r="C18" s="155"/>
      <c r="D18" s="155"/>
      <c r="E18" s="155"/>
      <c r="F18" s="155"/>
      <c r="G18" s="155"/>
      <c r="H18" s="155"/>
      <c r="I18" s="155"/>
      <c r="J18" s="155"/>
      <c r="K18" s="155"/>
      <c r="L18" s="24"/>
    </row>
    <row r="19" spans="1:12" ht="12.75">
      <c r="A19" s="47" t="s">
        <v>562</v>
      </c>
      <c r="B19" s="100" t="s">
        <v>821</v>
      </c>
      <c r="C19" s="100" t="s">
        <v>822</v>
      </c>
      <c r="D19" s="100" t="s">
        <v>823</v>
      </c>
      <c r="E19" s="100" t="s">
        <v>824</v>
      </c>
      <c r="F19" s="100" t="s">
        <v>825</v>
      </c>
      <c r="G19" s="100" t="s">
        <v>17</v>
      </c>
      <c r="H19" s="112" t="s">
        <v>372</v>
      </c>
      <c r="I19" s="112" t="s">
        <v>21</v>
      </c>
      <c r="J19" s="104" t="s">
        <v>826</v>
      </c>
      <c r="K19" s="100" t="s">
        <v>827</v>
      </c>
      <c r="L19" s="100" t="s">
        <v>40</v>
      </c>
    </row>
    <row r="20" spans="1:12" ht="12.75">
      <c r="A20" s="36" t="s">
        <v>570</v>
      </c>
      <c r="B20" s="95" t="s">
        <v>98</v>
      </c>
      <c r="C20" s="95" t="s">
        <v>99</v>
      </c>
      <c r="D20" s="95" t="s">
        <v>100</v>
      </c>
      <c r="E20" s="95" t="s">
        <v>704</v>
      </c>
      <c r="F20" s="95" t="s">
        <v>16</v>
      </c>
      <c r="G20" s="95" t="s">
        <v>101</v>
      </c>
      <c r="H20" s="87" t="s">
        <v>472</v>
      </c>
      <c r="I20" s="87" t="s">
        <v>234</v>
      </c>
      <c r="J20" s="93" t="s">
        <v>828</v>
      </c>
      <c r="K20" s="95" t="s">
        <v>829</v>
      </c>
      <c r="L20" s="95" t="s">
        <v>40</v>
      </c>
    </row>
    <row r="21" spans="1:12" ht="12.75">
      <c r="A21" s="37"/>
      <c r="B21" s="24"/>
      <c r="C21" s="24"/>
      <c r="D21" s="24"/>
      <c r="E21" s="24"/>
      <c r="F21" s="24"/>
      <c r="G21" s="24"/>
      <c r="H21" s="24"/>
      <c r="I21" s="24"/>
      <c r="J21" s="37"/>
      <c r="K21" s="24"/>
      <c r="L21" s="24"/>
    </row>
    <row r="22" spans="2:12" ht="15.75">
      <c r="B22" s="155" t="s">
        <v>138</v>
      </c>
      <c r="C22" s="155"/>
      <c r="D22" s="155"/>
      <c r="E22" s="155"/>
      <c r="F22" s="155"/>
      <c r="G22" s="155"/>
      <c r="H22" s="155"/>
      <c r="I22" s="155"/>
      <c r="J22" s="155"/>
      <c r="K22" s="155"/>
      <c r="L22" s="24"/>
    </row>
    <row r="23" spans="1:12" ht="12.75">
      <c r="A23" s="47" t="s">
        <v>562</v>
      </c>
      <c r="B23" s="100" t="s">
        <v>830</v>
      </c>
      <c r="C23" s="100" t="s">
        <v>831</v>
      </c>
      <c r="D23" s="100" t="s">
        <v>320</v>
      </c>
      <c r="E23" s="100" t="s">
        <v>789</v>
      </c>
      <c r="F23" s="100" t="s">
        <v>16</v>
      </c>
      <c r="G23" s="100" t="s">
        <v>17</v>
      </c>
      <c r="H23" s="112" t="s">
        <v>248</v>
      </c>
      <c r="I23" s="112" t="s">
        <v>832</v>
      </c>
      <c r="J23" s="104" t="s">
        <v>833</v>
      </c>
      <c r="K23" s="100" t="s">
        <v>834</v>
      </c>
      <c r="L23" s="100" t="s">
        <v>40</v>
      </c>
    </row>
    <row r="24" spans="1:12" ht="12.75">
      <c r="A24" s="36" t="s">
        <v>562</v>
      </c>
      <c r="B24" s="95" t="s">
        <v>508</v>
      </c>
      <c r="C24" s="95" t="s">
        <v>509</v>
      </c>
      <c r="D24" s="95" t="s">
        <v>510</v>
      </c>
      <c r="E24" s="95" t="s">
        <v>835</v>
      </c>
      <c r="F24" s="95" t="s">
        <v>16</v>
      </c>
      <c r="G24" s="95" t="s">
        <v>28</v>
      </c>
      <c r="H24" s="87" t="s">
        <v>248</v>
      </c>
      <c r="I24" s="87" t="s">
        <v>836</v>
      </c>
      <c r="J24" s="93" t="s">
        <v>837</v>
      </c>
      <c r="K24" s="95" t="s">
        <v>838</v>
      </c>
      <c r="L24" s="95" t="s">
        <v>658</v>
      </c>
    </row>
    <row r="25" spans="1:12" ht="12.75">
      <c r="A25" s="37"/>
      <c r="B25" s="24"/>
      <c r="C25" s="24"/>
      <c r="D25" s="24"/>
      <c r="E25" s="24"/>
      <c r="F25" s="24"/>
      <c r="G25" s="24"/>
      <c r="H25" s="24"/>
      <c r="I25" s="24"/>
      <c r="J25" s="37"/>
      <c r="K25" s="24"/>
      <c r="L25" s="24"/>
    </row>
    <row r="26" spans="2:12" ht="15.75">
      <c r="B26" s="155" t="s">
        <v>163</v>
      </c>
      <c r="C26" s="155"/>
      <c r="D26" s="155"/>
      <c r="E26" s="155"/>
      <c r="F26" s="155"/>
      <c r="G26" s="155"/>
      <c r="H26" s="155"/>
      <c r="I26" s="155"/>
      <c r="J26" s="155"/>
      <c r="K26" s="155"/>
      <c r="L26" s="24"/>
    </row>
    <row r="27" spans="1:12" ht="12.75">
      <c r="A27" s="36" t="s">
        <v>562</v>
      </c>
      <c r="B27" s="95" t="s">
        <v>171</v>
      </c>
      <c r="C27" s="95" t="s">
        <v>172</v>
      </c>
      <c r="D27" s="95" t="s">
        <v>839</v>
      </c>
      <c r="E27" s="95" t="s">
        <v>840</v>
      </c>
      <c r="F27" s="95" t="s">
        <v>16</v>
      </c>
      <c r="G27" s="95" t="s">
        <v>71</v>
      </c>
      <c r="H27" s="87" t="s">
        <v>29</v>
      </c>
      <c r="I27" s="87" t="s">
        <v>780</v>
      </c>
      <c r="J27" s="93" t="s">
        <v>841</v>
      </c>
      <c r="K27" s="95" t="s">
        <v>842</v>
      </c>
      <c r="L27" s="95" t="s">
        <v>177</v>
      </c>
    </row>
    <row r="28" spans="1:12" ht="12.75">
      <c r="A28" s="37"/>
      <c r="B28" s="24"/>
      <c r="C28" s="24"/>
      <c r="D28" s="24"/>
      <c r="E28" s="24"/>
      <c r="F28" s="24"/>
      <c r="G28" s="24"/>
      <c r="H28" s="24"/>
      <c r="I28" s="24"/>
      <c r="J28" s="37"/>
      <c r="K28" s="24"/>
      <c r="L28" s="24"/>
    </row>
    <row r="29" spans="1:12" ht="12.75">
      <c r="A29" s="37"/>
      <c r="B29" s="24"/>
      <c r="C29" s="24"/>
      <c r="D29" s="24"/>
      <c r="E29" s="24"/>
      <c r="F29" s="24"/>
      <c r="G29" s="24"/>
      <c r="H29" s="24"/>
      <c r="I29" s="24"/>
      <c r="J29" s="37"/>
      <c r="K29" s="24"/>
      <c r="L29" s="24"/>
    </row>
    <row r="30" spans="1:12" ht="18">
      <c r="A30" s="37"/>
      <c r="B30" s="31" t="s">
        <v>183</v>
      </c>
      <c r="C30" s="31"/>
      <c r="D30" s="24"/>
      <c r="E30" s="24"/>
      <c r="F30" s="24"/>
      <c r="G30" s="24"/>
      <c r="H30" s="24"/>
      <c r="I30" s="24"/>
      <c r="J30" s="37"/>
      <c r="K30" s="24"/>
      <c r="L30" s="24"/>
    </row>
    <row r="31" spans="1:12" ht="12.75">
      <c r="A31" s="37"/>
      <c r="B31" s="24"/>
      <c r="C31" s="24"/>
      <c r="D31" s="24"/>
      <c r="E31" s="24"/>
      <c r="F31" s="24"/>
      <c r="G31" s="24"/>
      <c r="H31" s="24"/>
      <c r="I31" s="24"/>
      <c r="J31" s="37"/>
      <c r="K31" s="24"/>
      <c r="L31" s="24"/>
    </row>
    <row r="32" spans="1:12" ht="15.75">
      <c r="A32" s="37"/>
      <c r="B32" s="32" t="s">
        <v>195</v>
      </c>
      <c r="C32" s="32"/>
      <c r="D32" s="24"/>
      <c r="E32" s="24"/>
      <c r="F32" s="24"/>
      <c r="G32" s="24"/>
      <c r="H32" s="24"/>
      <c r="I32" s="24"/>
      <c r="J32" s="37"/>
      <c r="K32" s="24"/>
      <c r="L32" s="24"/>
    </row>
    <row r="33" spans="1:12" ht="13.5">
      <c r="A33" s="37"/>
      <c r="B33" s="34" t="s">
        <v>192</v>
      </c>
      <c r="C33" s="34"/>
      <c r="D33" s="24"/>
      <c r="E33" s="24"/>
      <c r="F33" s="24"/>
      <c r="G33" s="24"/>
      <c r="H33" s="24"/>
      <c r="I33" s="24"/>
      <c r="J33" s="37"/>
      <c r="K33" s="24"/>
      <c r="L33" s="24"/>
    </row>
    <row r="34" spans="1:12" ht="13.5">
      <c r="A34" s="37"/>
      <c r="B34" s="35" t="s">
        <v>186</v>
      </c>
      <c r="C34" s="127" t="s">
        <v>187</v>
      </c>
      <c r="D34" s="127" t="s">
        <v>188</v>
      </c>
      <c r="E34" s="127" t="s">
        <v>189</v>
      </c>
      <c r="F34" s="127" t="s">
        <v>797</v>
      </c>
      <c r="G34" s="24"/>
      <c r="H34" s="24"/>
      <c r="I34" s="24"/>
      <c r="J34" s="37"/>
      <c r="K34" s="24"/>
      <c r="L34" s="24"/>
    </row>
    <row r="35" spans="1:12" ht="12.75">
      <c r="A35" s="37" t="s">
        <v>562</v>
      </c>
      <c r="B35" s="33" t="s">
        <v>821</v>
      </c>
      <c r="C35" s="77" t="s">
        <v>192</v>
      </c>
      <c r="D35" s="77" t="s">
        <v>202</v>
      </c>
      <c r="E35" s="77" t="s">
        <v>843</v>
      </c>
      <c r="F35" s="37" t="s">
        <v>827</v>
      </c>
      <c r="G35" s="24"/>
      <c r="H35" s="24"/>
      <c r="I35" s="24"/>
      <c r="J35" s="37"/>
      <c r="K35" s="24"/>
      <c r="L35" s="24"/>
    </row>
    <row r="36" spans="1:12" ht="12.75">
      <c r="A36" s="37" t="s">
        <v>570</v>
      </c>
      <c r="B36" s="33" t="s">
        <v>74</v>
      </c>
      <c r="C36" s="77" t="s">
        <v>192</v>
      </c>
      <c r="D36" s="77" t="s">
        <v>844</v>
      </c>
      <c r="E36" s="77" t="s">
        <v>818</v>
      </c>
      <c r="F36" s="37" t="s">
        <v>819</v>
      </c>
      <c r="G36" s="24"/>
      <c r="H36" s="24"/>
      <c r="I36" s="24"/>
      <c r="J36" s="37"/>
      <c r="K36" s="24"/>
      <c r="L36" s="24"/>
    </row>
    <row r="37" spans="1:12" ht="12.75">
      <c r="A37" s="37" t="s">
        <v>572</v>
      </c>
      <c r="B37" s="33" t="s">
        <v>508</v>
      </c>
      <c r="C37" s="77" t="s">
        <v>192</v>
      </c>
      <c r="D37" s="77" t="s">
        <v>203</v>
      </c>
      <c r="E37" s="77" t="s">
        <v>845</v>
      </c>
      <c r="F37" s="37" t="s">
        <v>838</v>
      </c>
      <c r="G37" s="24"/>
      <c r="H37" s="24"/>
      <c r="I37" s="24"/>
      <c r="J37" s="37"/>
      <c r="K37" s="24"/>
      <c r="L37" s="24"/>
    </row>
    <row r="38" spans="1:12" ht="12.75">
      <c r="A38" s="37"/>
      <c r="B38" s="24"/>
      <c r="C38" s="24"/>
      <c r="D38" s="24"/>
      <c r="E38" s="24"/>
      <c r="F38" s="24"/>
      <c r="G38" s="24"/>
      <c r="H38" s="24"/>
      <c r="I38" s="24"/>
      <c r="J38" s="37"/>
      <c r="K38" s="24"/>
      <c r="L38" s="24"/>
    </row>
    <row r="39" spans="1:12" ht="12.75">
      <c r="A39" s="37"/>
      <c r="B39" s="24"/>
      <c r="C39" s="24"/>
      <c r="D39" s="24"/>
      <c r="E39" s="24"/>
      <c r="F39" s="24"/>
      <c r="G39" s="24"/>
      <c r="H39" s="24"/>
      <c r="I39" s="24"/>
      <c r="J39" s="37"/>
      <c r="K39" s="24"/>
      <c r="L39" s="24"/>
    </row>
    <row r="40" spans="1:12" ht="12.75">
      <c r="A40" s="37"/>
      <c r="B40" s="24"/>
      <c r="C40" s="24"/>
      <c r="D40" s="24"/>
      <c r="E40" s="24"/>
      <c r="F40" s="24"/>
      <c r="G40" s="24"/>
      <c r="H40" s="24"/>
      <c r="I40" s="24"/>
      <c r="J40" s="37"/>
      <c r="K40" s="24"/>
      <c r="L40" s="24"/>
    </row>
    <row r="41" spans="1:12" ht="12.75">
      <c r="A41" s="37"/>
      <c r="B41" s="24"/>
      <c r="C41" s="24"/>
      <c r="D41" s="24"/>
      <c r="E41" s="24"/>
      <c r="F41" s="24"/>
      <c r="G41" s="24"/>
      <c r="H41" s="24"/>
      <c r="I41" s="24"/>
      <c r="J41" s="37"/>
      <c r="K41" s="24"/>
      <c r="L41" s="24"/>
    </row>
    <row r="42" spans="1:12" ht="12.75">
      <c r="A42" s="37"/>
      <c r="B42" s="24"/>
      <c r="C42" s="24"/>
      <c r="D42" s="24"/>
      <c r="E42" s="24"/>
      <c r="F42" s="24"/>
      <c r="G42" s="24"/>
      <c r="H42" s="24"/>
      <c r="I42" s="24"/>
      <c r="J42" s="37"/>
      <c r="K42" s="24"/>
      <c r="L42" s="24"/>
    </row>
    <row r="43" spans="1:12" ht="12.75">
      <c r="A43" s="37"/>
      <c r="B43" s="24"/>
      <c r="C43" s="24"/>
      <c r="D43" s="24"/>
      <c r="E43" s="24"/>
      <c r="F43" s="24"/>
      <c r="G43" s="24"/>
      <c r="H43" s="24"/>
      <c r="I43" s="24"/>
      <c r="J43" s="37"/>
      <c r="K43" s="24"/>
      <c r="L43" s="24"/>
    </row>
    <row r="44" spans="1:12" ht="12.75">
      <c r="A44" s="37"/>
      <c r="B44" s="24"/>
      <c r="C44" s="24"/>
      <c r="D44" s="24"/>
      <c r="E44" s="24"/>
      <c r="F44" s="24"/>
      <c r="G44" s="24"/>
      <c r="H44" s="24"/>
      <c r="I44" s="24"/>
      <c r="J44" s="37"/>
      <c r="K44" s="24"/>
      <c r="L44" s="24"/>
    </row>
  </sheetData>
  <sheetProtection/>
  <mergeCells count="18">
    <mergeCell ref="B1:L2"/>
    <mergeCell ref="A3:A4"/>
    <mergeCell ref="B3:B4"/>
    <mergeCell ref="D3:D4"/>
    <mergeCell ref="E3:E4"/>
    <mergeCell ref="F3:F4"/>
    <mergeCell ref="G3:G4"/>
    <mergeCell ref="H3:I3"/>
    <mergeCell ref="J3:J4"/>
    <mergeCell ref="K3:K4"/>
    <mergeCell ref="B22:K22"/>
    <mergeCell ref="B26:K26"/>
    <mergeCell ref="L3:L4"/>
    <mergeCell ref="B5:K5"/>
    <mergeCell ref="B8:K8"/>
    <mergeCell ref="B11:K11"/>
    <mergeCell ref="B15:K15"/>
    <mergeCell ref="B18:K18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3" sqref="G3:G4"/>
    </sheetView>
  </sheetViews>
  <sheetFormatPr defaultColWidth="8.75390625" defaultRowHeight="12.75"/>
  <cols>
    <col min="1" max="1" width="7.125" style="37" customWidth="1"/>
    <col min="2" max="2" width="31.875" style="24" bestFit="1" customWidth="1"/>
    <col min="3" max="3" width="26.875" style="24" bestFit="1" customWidth="1"/>
    <col min="4" max="4" width="12.25390625" style="24" bestFit="1" customWidth="1"/>
    <col min="5" max="5" width="8.375" style="24" bestFit="1" customWidth="1"/>
    <col min="6" max="6" width="22.75390625" style="24" bestFit="1" customWidth="1"/>
    <col min="7" max="7" width="22.625" style="24" customWidth="1"/>
    <col min="8" max="10" width="5.625" style="24" bestFit="1" customWidth="1"/>
    <col min="11" max="11" width="4.625" style="24" bestFit="1" customWidth="1"/>
    <col min="12" max="12" width="13.125" style="37" customWidth="1"/>
    <col min="13" max="13" width="8.625" style="24" bestFit="1" customWidth="1"/>
    <col min="14" max="14" width="15.75390625" style="24" bestFit="1" customWidth="1"/>
  </cols>
  <sheetData>
    <row r="1" spans="2:14" s="1" customFormat="1" ht="15" customHeight="1">
      <c r="B1" s="163" t="s">
        <v>578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2:14" s="1" customFormat="1" ht="72.75" customHeight="1" thickBo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s="2" customFormat="1" ht="12.75" customHeight="1">
      <c r="A3" s="161" t="s">
        <v>561</v>
      </c>
      <c r="B3" s="165" t="s">
        <v>0</v>
      </c>
      <c r="C3" s="167" t="s">
        <v>9</v>
      </c>
      <c r="D3" s="167" t="s">
        <v>10</v>
      </c>
      <c r="E3" s="151" t="s">
        <v>11</v>
      </c>
      <c r="F3" s="151" t="s">
        <v>7</v>
      </c>
      <c r="G3" s="151" t="s">
        <v>583</v>
      </c>
      <c r="H3" s="151" t="s">
        <v>2</v>
      </c>
      <c r="I3" s="151"/>
      <c r="J3" s="151"/>
      <c r="K3" s="151"/>
      <c r="L3" s="151" t="s">
        <v>567</v>
      </c>
      <c r="M3" s="151" t="s">
        <v>6</v>
      </c>
      <c r="N3" s="169" t="s">
        <v>5</v>
      </c>
    </row>
    <row r="4" spans="1:14" s="2" customFormat="1" ht="35.25" customHeight="1" thickBot="1">
      <c r="A4" s="162"/>
      <c r="B4" s="166"/>
      <c r="C4" s="152"/>
      <c r="D4" s="168"/>
      <c r="E4" s="152"/>
      <c r="F4" s="152"/>
      <c r="G4" s="152"/>
      <c r="H4" s="3">
        <v>1</v>
      </c>
      <c r="I4" s="3">
        <v>2</v>
      </c>
      <c r="J4" s="3">
        <v>3</v>
      </c>
      <c r="K4" s="3" t="s">
        <v>8</v>
      </c>
      <c r="L4" s="152"/>
      <c r="M4" s="152"/>
      <c r="N4" s="170"/>
    </row>
    <row r="5" spans="1:13" ht="15.75">
      <c r="A5"/>
      <c r="B5" s="160" t="s">
        <v>85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4" ht="12.75">
      <c r="A6" s="36" t="s">
        <v>562</v>
      </c>
      <c r="B6" s="29" t="s">
        <v>632</v>
      </c>
      <c r="C6" s="29" t="s">
        <v>106</v>
      </c>
      <c r="D6" s="29" t="s">
        <v>107</v>
      </c>
      <c r="E6" s="29" t="str">
        <f>"0,6459"</f>
        <v>0,6459</v>
      </c>
      <c r="F6" s="29" t="s">
        <v>16</v>
      </c>
      <c r="G6" s="29" t="s">
        <v>594</v>
      </c>
      <c r="H6" s="38" t="s">
        <v>120</v>
      </c>
      <c r="I6" s="41" t="s">
        <v>168</v>
      </c>
      <c r="J6" s="41" t="s">
        <v>168</v>
      </c>
      <c r="K6" s="30"/>
      <c r="L6" s="36">
        <v>205</v>
      </c>
      <c r="M6" s="29" t="str">
        <f>"134,2632"</f>
        <v>134,2632</v>
      </c>
      <c r="N6" s="29" t="s">
        <v>40</v>
      </c>
    </row>
  </sheetData>
  <sheetProtection/>
  <mergeCells count="13">
    <mergeCell ref="L3:L4"/>
    <mergeCell ref="M3:M4"/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C24" sqref="C24"/>
    </sheetView>
  </sheetViews>
  <sheetFormatPr defaultColWidth="8.75390625" defaultRowHeight="12.75"/>
  <cols>
    <col min="1" max="1" width="7.00390625" style="37" customWidth="1"/>
    <col min="2" max="2" width="27.25390625" style="24" customWidth="1"/>
    <col min="3" max="3" width="21.875" style="24" customWidth="1"/>
    <col min="4" max="4" width="12.25390625" style="24" bestFit="1" customWidth="1"/>
    <col min="5" max="5" width="8.375" style="24" bestFit="1" customWidth="1"/>
    <col min="6" max="6" width="22.75390625" style="24" bestFit="1" customWidth="1"/>
    <col min="7" max="7" width="19.75390625" style="24" customWidth="1"/>
    <col min="8" max="10" width="5.625" style="24" bestFit="1" customWidth="1"/>
    <col min="11" max="11" width="4.625" style="24" bestFit="1" customWidth="1"/>
    <col min="12" max="12" width="11.875" style="37" customWidth="1"/>
    <col min="13" max="13" width="7.625" style="24" bestFit="1" customWidth="1"/>
    <col min="14" max="14" width="16.25390625" style="24" bestFit="1" customWidth="1"/>
  </cols>
  <sheetData>
    <row r="1" spans="2:14" s="1" customFormat="1" ht="15" customHeight="1">
      <c r="B1" s="163" t="s">
        <v>579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2:14" s="1" customFormat="1" ht="69.75" customHeight="1" thickBo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s="2" customFormat="1" ht="12.75" customHeight="1">
      <c r="A3" s="161" t="s">
        <v>561</v>
      </c>
      <c r="B3" s="165" t="s">
        <v>0</v>
      </c>
      <c r="C3" s="167" t="s">
        <v>9</v>
      </c>
      <c r="D3" s="167" t="s">
        <v>10</v>
      </c>
      <c r="E3" s="151" t="s">
        <v>11</v>
      </c>
      <c r="F3" s="151" t="s">
        <v>7</v>
      </c>
      <c r="G3" s="151" t="s">
        <v>583</v>
      </c>
      <c r="H3" s="151" t="s">
        <v>2</v>
      </c>
      <c r="I3" s="151"/>
      <c r="J3" s="151"/>
      <c r="K3" s="151"/>
      <c r="L3" s="151" t="s">
        <v>567</v>
      </c>
      <c r="M3" s="151" t="s">
        <v>6</v>
      </c>
      <c r="N3" s="169" t="s">
        <v>5</v>
      </c>
    </row>
    <row r="4" spans="1:14" s="2" customFormat="1" ht="35.25" customHeight="1" thickBot="1">
      <c r="A4" s="162"/>
      <c r="B4" s="166"/>
      <c r="C4" s="152"/>
      <c r="D4" s="168"/>
      <c r="E4" s="152"/>
      <c r="F4" s="152"/>
      <c r="G4" s="152"/>
      <c r="H4" s="3">
        <v>1</v>
      </c>
      <c r="I4" s="3">
        <v>2</v>
      </c>
      <c r="J4" s="3">
        <v>3</v>
      </c>
      <c r="K4" s="3" t="s">
        <v>8</v>
      </c>
      <c r="L4" s="152"/>
      <c r="M4" s="152"/>
      <c r="N4" s="170"/>
    </row>
    <row r="5" spans="1:13" ht="15.75">
      <c r="A5"/>
      <c r="B5" s="160" t="s">
        <v>85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4" ht="12.75">
      <c r="A6" s="36" t="s">
        <v>562</v>
      </c>
      <c r="B6" s="29" t="s">
        <v>633</v>
      </c>
      <c r="C6" s="29" t="s">
        <v>349</v>
      </c>
      <c r="D6" s="29" t="s">
        <v>350</v>
      </c>
      <c r="E6" s="29" t="str">
        <f>"0,6447"</f>
        <v>0,6447</v>
      </c>
      <c r="F6" s="29" t="s">
        <v>16</v>
      </c>
      <c r="G6" s="29" t="s">
        <v>17</v>
      </c>
      <c r="H6" s="38" t="s">
        <v>82</v>
      </c>
      <c r="I6" s="41" t="s">
        <v>282</v>
      </c>
      <c r="J6" s="41" t="s">
        <v>282</v>
      </c>
      <c r="K6" s="30"/>
      <c r="L6" s="36">
        <v>135</v>
      </c>
      <c r="M6" s="29" t="str">
        <f>"87,0345"</f>
        <v>87,0345</v>
      </c>
      <c r="N6" s="29" t="s">
        <v>40</v>
      </c>
    </row>
    <row r="8" spans="1:13" ht="15.75">
      <c r="A8"/>
      <c r="B8" s="171" t="s">
        <v>115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4" ht="12.75">
      <c r="A9" s="36"/>
      <c r="B9" s="29" t="s">
        <v>351</v>
      </c>
      <c r="C9" s="29" t="s">
        <v>352</v>
      </c>
      <c r="D9" s="29" t="s">
        <v>353</v>
      </c>
      <c r="E9" s="29" t="str">
        <f>"0,6096"</f>
        <v>0,6096</v>
      </c>
      <c r="F9" s="29" t="s">
        <v>16</v>
      </c>
      <c r="G9" s="29" t="s">
        <v>593</v>
      </c>
      <c r="H9" s="41" t="s">
        <v>143</v>
      </c>
      <c r="I9" s="41" t="s">
        <v>145</v>
      </c>
      <c r="J9" s="41" t="s">
        <v>145</v>
      </c>
      <c r="K9" s="30"/>
      <c r="L9" s="36">
        <v>0</v>
      </c>
      <c r="M9" s="29" t="str">
        <f>"0,0000"</f>
        <v>0,0000</v>
      </c>
      <c r="N9" s="29" t="s">
        <v>634</v>
      </c>
    </row>
  </sheetData>
  <sheetProtection/>
  <mergeCells count="14">
    <mergeCell ref="B8:M8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C24" sqref="C24"/>
    </sheetView>
  </sheetViews>
  <sheetFormatPr defaultColWidth="8.75390625" defaultRowHeight="12.75"/>
  <cols>
    <col min="1" max="1" width="7.875" style="37" customWidth="1"/>
    <col min="2" max="2" width="30.125" style="24" customWidth="1"/>
    <col min="3" max="3" width="26.875" style="24" bestFit="1" customWidth="1"/>
    <col min="4" max="4" width="12.25390625" style="24" bestFit="1" customWidth="1"/>
    <col min="5" max="5" width="8.375" style="24" bestFit="1" customWidth="1"/>
    <col min="6" max="6" width="22.75390625" style="24" bestFit="1" customWidth="1"/>
    <col min="7" max="7" width="29.25390625" style="24" bestFit="1" customWidth="1"/>
    <col min="8" max="10" width="5.625" style="24" bestFit="1" customWidth="1"/>
    <col min="11" max="11" width="4.625" style="24" bestFit="1" customWidth="1"/>
    <col min="12" max="12" width="11.00390625" style="37" customWidth="1"/>
    <col min="13" max="13" width="8.625" style="24" bestFit="1" customWidth="1"/>
    <col min="14" max="14" width="15.75390625" style="24" bestFit="1" customWidth="1"/>
  </cols>
  <sheetData>
    <row r="1" spans="1:14" s="1" customFormat="1" ht="15" customHeight="1">
      <c r="A1" s="39"/>
      <c r="B1" s="163" t="s">
        <v>580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s="1" customFormat="1" ht="66" customHeight="1" thickBot="1">
      <c r="A2" s="39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s="2" customFormat="1" ht="12.75" customHeight="1">
      <c r="A3" s="161" t="s">
        <v>561</v>
      </c>
      <c r="B3" s="165" t="s">
        <v>0</v>
      </c>
      <c r="C3" s="167" t="s">
        <v>9</v>
      </c>
      <c r="D3" s="167" t="s">
        <v>10</v>
      </c>
      <c r="E3" s="151" t="s">
        <v>11</v>
      </c>
      <c r="F3" s="151" t="s">
        <v>7</v>
      </c>
      <c r="G3" s="151" t="s">
        <v>583</v>
      </c>
      <c r="H3" s="151" t="s">
        <v>2</v>
      </c>
      <c r="I3" s="151"/>
      <c r="J3" s="151"/>
      <c r="K3" s="151"/>
      <c r="L3" s="151" t="s">
        <v>567</v>
      </c>
      <c r="M3" s="151" t="s">
        <v>6</v>
      </c>
      <c r="N3" s="169" t="s">
        <v>5</v>
      </c>
    </row>
    <row r="4" spans="1:14" s="2" customFormat="1" ht="35.25" customHeight="1" thickBot="1">
      <c r="A4" s="162"/>
      <c r="B4" s="166"/>
      <c r="C4" s="152"/>
      <c r="D4" s="168"/>
      <c r="E4" s="152"/>
      <c r="F4" s="152"/>
      <c r="G4" s="152"/>
      <c r="H4" s="3">
        <v>1</v>
      </c>
      <c r="I4" s="3">
        <v>2</v>
      </c>
      <c r="J4" s="3">
        <v>3</v>
      </c>
      <c r="K4" s="3" t="s">
        <v>8</v>
      </c>
      <c r="L4" s="152"/>
      <c r="M4" s="152"/>
      <c r="N4" s="170"/>
    </row>
    <row r="5" spans="1:13" ht="15.75">
      <c r="A5" s="40"/>
      <c r="B5" s="160" t="s">
        <v>85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4" ht="12.75">
      <c r="A6" s="47" t="s">
        <v>562</v>
      </c>
      <c r="B6" s="25" t="s">
        <v>392</v>
      </c>
      <c r="C6" s="25" t="s">
        <v>343</v>
      </c>
      <c r="D6" s="25" t="s">
        <v>344</v>
      </c>
      <c r="E6" s="25" t="str">
        <f>"0,6391"</f>
        <v>0,6391</v>
      </c>
      <c r="F6" s="25" t="s">
        <v>345</v>
      </c>
      <c r="G6" s="25" t="s">
        <v>17</v>
      </c>
      <c r="H6" s="45" t="s">
        <v>143</v>
      </c>
      <c r="I6" s="43" t="s">
        <v>346</v>
      </c>
      <c r="J6" s="43" t="s">
        <v>346</v>
      </c>
      <c r="K6" s="26"/>
      <c r="L6" s="47">
        <v>220</v>
      </c>
      <c r="M6" s="25" t="str">
        <f>"140,6020"</f>
        <v>140,6020</v>
      </c>
      <c r="N6" s="25" t="s">
        <v>347</v>
      </c>
    </row>
    <row r="7" spans="1:14" ht="12.75">
      <c r="A7" s="36" t="s">
        <v>562</v>
      </c>
      <c r="B7" s="29" t="s">
        <v>632</v>
      </c>
      <c r="C7" s="29" t="s">
        <v>106</v>
      </c>
      <c r="D7" s="29" t="s">
        <v>107</v>
      </c>
      <c r="E7" s="29" t="str">
        <f>"0,6459"</f>
        <v>0,6459</v>
      </c>
      <c r="F7" s="29" t="s">
        <v>16</v>
      </c>
      <c r="G7" s="29" t="s">
        <v>594</v>
      </c>
      <c r="H7" s="41" t="s">
        <v>72</v>
      </c>
      <c r="I7" s="38" t="s">
        <v>72</v>
      </c>
      <c r="J7" s="38" t="s">
        <v>175</v>
      </c>
      <c r="K7" s="30"/>
      <c r="L7" s="36">
        <v>200</v>
      </c>
      <c r="M7" s="29" t="str">
        <f>"130,9885"</f>
        <v>130,9885</v>
      </c>
      <c r="N7" s="29" t="s">
        <v>40</v>
      </c>
    </row>
    <row r="9" spans="1:13" ht="15.75">
      <c r="A9" s="40"/>
      <c r="B9" s="171" t="s">
        <v>138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0" spans="1:14" ht="12.75">
      <c r="A10" s="36" t="s">
        <v>562</v>
      </c>
      <c r="B10" s="29" t="s">
        <v>631</v>
      </c>
      <c r="C10" s="29" t="s">
        <v>156</v>
      </c>
      <c r="D10" s="29" t="s">
        <v>157</v>
      </c>
      <c r="E10" s="29" t="str">
        <f>"0,6076"</f>
        <v>0,6076</v>
      </c>
      <c r="F10" s="29" t="s">
        <v>16</v>
      </c>
      <c r="G10" s="29" t="s">
        <v>142</v>
      </c>
      <c r="H10" s="41" t="s">
        <v>168</v>
      </c>
      <c r="I10" s="38" t="s">
        <v>168</v>
      </c>
      <c r="J10" s="41" t="s">
        <v>348</v>
      </c>
      <c r="K10" s="30"/>
      <c r="L10" s="36">
        <v>225</v>
      </c>
      <c r="M10" s="29" t="str">
        <f>"136,7100"</f>
        <v>136,7100</v>
      </c>
      <c r="N10" s="29" t="s">
        <v>40</v>
      </c>
    </row>
  </sheetData>
  <sheetProtection/>
  <mergeCells count="14">
    <mergeCell ref="B9:M9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</mergeCells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22">
      <selection activeCell="F22" sqref="F22"/>
    </sheetView>
  </sheetViews>
  <sheetFormatPr defaultColWidth="8.75390625" defaultRowHeight="12.75"/>
  <cols>
    <col min="1" max="1" width="6.125" style="37" customWidth="1"/>
    <col min="2" max="2" width="23.625" style="24" customWidth="1"/>
    <col min="3" max="3" width="27.125" style="24" bestFit="1" customWidth="1"/>
    <col min="4" max="4" width="12.25390625" style="24" bestFit="1" customWidth="1"/>
    <col min="5" max="5" width="8.375" style="24" bestFit="1" customWidth="1"/>
    <col min="6" max="6" width="23.75390625" style="24" customWidth="1"/>
    <col min="7" max="7" width="27.25390625" style="24" customWidth="1"/>
    <col min="8" max="10" width="5.625" style="24" bestFit="1" customWidth="1"/>
    <col min="11" max="11" width="4.625" style="24" bestFit="1" customWidth="1"/>
    <col min="12" max="12" width="12.375" style="37" customWidth="1"/>
    <col min="13" max="13" width="8.625" style="24" bestFit="1" customWidth="1"/>
    <col min="14" max="14" width="19.25390625" style="24" customWidth="1"/>
  </cols>
  <sheetData>
    <row r="1" spans="2:14" s="1" customFormat="1" ht="15" customHeight="1">
      <c r="B1" s="163" t="s">
        <v>581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2:14" s="1" customFormat="1" ht="78.75" customHeight="1" thickBo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s="2" customFormat="1" ht="12.75" customHeight="1">
      <c r="A3" s="161" t="s">
        <v>561</v>
      </c>
      <c r="B3" s="165" t="s">
        <v>0</v>
      </c>
      <c r="C3" s="167" t="s">
        <v>9</v>
      </c>
      <c r="D3" s="167" t="s">
        <v>10</v>
      </c>
      <c r="E3" s="151" t="s">
        <v>11</v>
      </c>
      <c r="F3" s="151" t="s">
        <v>7</v>
      </c>
      <c r="G3" s="151" t="s">
        <v>583</v>
      </c>
      <c r="H3" s="151" t="s">
        <v>2</v>
      </c>
      <c r="I3" s="151"/>
      <c r="J3" s="151"/>
      <c r="K3" s="151"/>
      <c r="L3" s="151" t="s">
        <v>567</v>
      </c>
      <c r="M3" s="151" t="s">
        <v>6</v>
      </c>
      <c r="N3" s="169" t="s">
        <v>5</v>
      </c>
    </row>
    <row r="4" spans="1:14" s="2" customFormat="1" ht="35.25" customHeight="1" thickBot="1">
      <c r="A4" s="162"/>
      <c r="B4" s="166"/>
      <c r="C4" s="152"/>
      <c r="D4" s="168"/>
      <c r="E4" s="152"/>
      <c r="F4" s="152"/>
      <c r="G4" s="152"/>
      <c r="H4" s="3">
        <v>1</v>
      </c>
      <c r="I4" s="3">
        <v>2</v>
      </c>
      <c r="J4" s="3">
        <v>3</v>
      </c>
      <c r="K4" s="3" t="s">
        <v>8</v>
      </c>
      <c r="L4" s="152"/>
      <c r="M4" s="152"/>
      <c r="N4" s="170"/>
    </row>
    <row r="5" spans="1:13" ht="15.75">
      <c r="A5"/>
      <c r="B5" s="160" t="s">
        <v>207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4" ht="12.75">
      <c r="A6" s="47"/>
      <c r="B6" s="25" t="s">
        <v>208</v>
      </c>
      <c r="C6" s="25" t="s">
        <v>209</v>
      </c>
      <c r="D6" s="25" t="s">
        <v>210</v>
      </c>
      <c r="E6" s="25" t="str">
        <f>"1,3449"</f>
        <v>1,3449</v>
      </c>
      <c r="F6" s="25" t="s">
        <v>16</v>
      </c>
      <c r="G6" s="25" t="s">
        <v>17</v>
      </c>
      <c r="H6" s="43" t="s">
        <v>211</v>
      </c>
      <c r="I6" s="43" t="s">
        <v>211</v>
      </c>
      <c r="J6" s="43" t="s">
        <v>211</v>
      </c>
      <c r="K6" s="26"/>
      <c r="L6" s="47">
        <v>0</v>
      </c>
      <c r="M6" s="25" t="str">
        <f>"0,0000"</f>
        <v>0,0000</v>
      </c>
      <c r="N6" s="25" t="s">
        <v>212</v>
      </c>
    </row>
    <row r="7" spans="1:14" ht="12.75">
      <c r="A7" s="36" t="s">
        <v>562</v>
      </c>
      <c r="B7" s="29" t="s">
        <v>213</v>
      </c>
      <c r="C7" s="29" t="s">
        <v>214</v>
      </c>
      <c r="D7" s="29" t="s">
        <v>215</v>
      </c>
      <c r="E7" s="29" t="str">
        <f>"1,3285"</f>
        <v>1,3285</v>
      </c>
      <c r="F7" s="29" t="s">
        <v>216</v>
      </c>
      <c r="G7" s="29" t="s">
        <v>17</v>
      </c>
      <c r="H7" s="38" t="s">
        <v>20</v>
      </c>
      <c r="I7" s="38" t="s">
        <v>21</v>
      </c>
      <c r="J7" s="38" t="s">
        <v>211</v>
      </c>
      <c r="K7" s="30"/>
      <c r="L7" s="36">
        <v>52.5</v>
      </c>
      <c r="M7" s="29" t="str">
        <f>"69,7463"</f>
        <v>69,7463</v>
      </c>
      <c r="N7" s="29" t="s">
        <v>217</v>
      </c>
    </row>
    <row r="9" spans="1:13" ht="15.75">
      <c r="A9"/>
      <c r="B9" s="171" t="s">
        <v>218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0" spans="1:14" ht="12.75">
      <c r="A10" s="36" t="s">
        <v>562</v>
      </c>
      <c r="B10" s="29" t="s">
        <v>219</v>
      </c>
      <c r="C10" s="29" t="s">
        <v>220</v>
      </c>
      <c r="D10" s="29" t="s">
        <v>221</v>
      </c>
      <c r="E10" s="29" t="str">
        <f>"1,1900"</f>
        <v>1,1900</v>
      </c>
      <c r="F10" s="29" t="s">
        <v>16</v>
      </c>
      <c r="G10" s="29" t="s">
        <v>17</v>
      </c>
      <c r="H10" s="38" t="s">
        <v>20</v>
      </c>
      <c r="I10" s="38" t="s">
        <v>21</v>
      </c>
      <c r="J10" s="41" t="s">
        <v>211</v>
      </c>
      <c r="K10" s="30"/>
      <c r="L10" s="36">
        <v>50</v>
      </c>
      <c r="M10" s="29" t="str">
        <f>"59,5000"</f>
        <v>59,5000</v>
      </c>
      <c r="N10" s="29" t="s">
        <v>625</v>
      </c>
    </row>
    <row r="12" spans="1:13" ht="15.75">
      <c r="A12"/>
      <c r="B12" s="171" t="s">
        <v>12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</row>
    <row r="13" spans="1:14" ht="12.75">
      <c r="A13" s="36" t="s">
        <v>562</v>
      </c>
      <c r="B13" s="29" t="s">
        <v>222</v>
      </c>
      <c r="C13" s="29" t="s">
        <v>223</v>
      </c>
      <c r="D13" s="29" t="s">
        <v>224</v>
      </c>
      <c r="E13" s="29" t="str">
        <f>"1,1163"</f>
        <v>1,1163</v>
      </c>
      <c r="F13" s="29" t="s">
        <v>16</v>
      </c>
      <c r="G13" s="29" t="s">
        <v>591</v>
      </c>
      <c r="H13" s="38" t="s">
        <v>21</v>
      </c>
      <c r="I13" s="41" t="s">
        <v>225</v>
      </c>
      <c r="J13" s="41" t="s">
        <v>225</v>
      </c>
      <c r="K13" s="30"/>
      <c r="L13" s="36">
        <v>50</v>
      </c>
      <c r="M13" s="29" t="str">
        <f>"55,8150"</f>
        <v>55,8150</v>
      </c>
      <c r="N13" s="29" t="s">
        <v>226</v>
      </c>
    </row>
    <row r="14" spans="9:10" ht="12.75">
      <c r="I14" s="51"/>
      <c r="J14" s="51"/>
    </row>
    <row r="15" spans="1:13" ht="15.75">
      <c r="A15"/>
      <c r="B15" s="171" t="s">
        <v>62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</row>
    <row r="16" spans="1:14" ht="12.75">
      <c r="A16" s="36" t="s">
        <v>562</v>
      </c>
      <c r="B16" s="29" t="s">
        <v>227</v>
      </c>
      <c r="C16" s="29" t="s">
        <v>228</v>
      </c>
      <c r="D16" s="29" t="s">
        <v>229</v>
      </c>
      <c r="E16" s="29" t="str">
        <f>"0,9340"</f>
        <v>0,9340</v>
      </c>
      <c r="F16" s="29" t="s">
        <v>16</v>
      </c>
      <c r="G16" s="29" t="s">
        <v>622</v>
      </c>
      <c r="H16" s="38" t="s">
        <v>20</v>
      </c>
      <c r="I16" s="38" t="s">
        <v>21</v>
      </c>
      <c r="J16" s="38" t="s">
        <v>211</v>
      </c>
      <c r="K16" s="30"/>
      <c r="L16" s="36">
        <v>52.5</v>
      </c>
      <c r="M16" s="29" t="str">
        <f>"49,0350"</f>
        <v>49,0350</v>
      </c>
      <c r="N16" s="29" t="s">
        <v>588</v>
      </c>
    </row>
    <row r="18" spans="1:13" ht="15.75">
      <c r="A18"/>
      <c r="B18" s="171" t="s">
        <v>230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</row>
    <row r="19" spans="1:14" ht="12.75">
      <c r="A19" s="36" t="s">
        <v>562</v>
      </c>
      <c r="B19" s="29" t="s">
        <v>231</v>
      </c>
      <c r="C19" s="29" t="s">
        <v>232</v>
      </c>
      <c r="D19" s="29" t="s">
        <v>233</v>
      </c>
      <c r="E19" s="29" t="str">
        <f>"1,3354"</f>
        <v>1,3354</v>
      </c>
      <c r="F19" s="29" t="s">
        <v>16</v>
      </c>
      <c r="G19" s="29" t="s">
        <v>17</v>
      </c>
      <c r="H19" s="41" t="s">
        <v>234</v>
      </c>
      <c r="I19" s="38" t="s">
        <v>234</v>
      </c>
      <c r="J19" s="38" t="s">
        <v>235</v>
      </c>
      <c r="K19" s="41" t="s">
        <v>236</v>
      </c>
      <c r="L19" s="36">
        <v>22.5</v>
      </c>
      <c r="M19" s="29" t="str">
        <f>"30,0465"</f>
        <v>30,0465</v>
      </c>
      <c r="N19" s="29" t="s">
        <v>237</v>
      </c>
    </row>
    <row r="21" spans="1:13" ht="15.75">
      <c r="A21"/>
      <c r="B21" s="171" t="s">
        <v>12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  <row r="22" spans="1:14" ht="12.75">
      <c r="A22" s="47" t="s">
        <v>562</v>
      </c>
      <c r="B22" s="25" t="s">
        <v>238</v>
      </c>
      <c r="C22" s="25" t="s">
        <v>239</v>
      </c>
      <c r="D22" s="25" t="s">
        <v>240</v>
      </c>
      <c r="E22" s="25" t="str">
        <f>"0,8703"</f>
        <v>0,8703</v>
      </c>
      <c r="F22" s="25" t="s">
        <v>16</v>
      </c>
      <c r="G22" s="25" t="s">
        <v>621</v>
      </c>
      <c r="H22" s="45" t="s">
        <v>241</v>
      </c>
      <c r="I22" s="45" t="s">
        <v>242</v>
      </c>
      <c r="J22" s="43" t="s">
        <v>30</v>
      </c>
      <c r="K22" s="26"/>
      <c r="L22" s="47">
        <v>117.5</v>
      </c>
      <c r="M22" s="25" t="str">
        <f>"102,2602"</f>
        <v>102,2602</v>
      </c>
      <c r="N22" s="25" t="s">
        <v>243</v>
      </c>
    </row>
    <row r="23" spans="1:14" ht="12.75">
      <c r="A23" s="36" t="s">
        <v>562</v>
      </c>
      <c r="B23" s="29" t="s">
        <v>238</v>
      </c>
      <c r="C23" s="29" t="s">
        <v>244</v>
      </c>
      <c r="D23" s="29" t="s">
        <v>240</v>
      </c>
      <c r="E23" s="29" t="str">
        <f>"0,8703"</f>
        <v>0,8703</v>
      </c>
      <c r="F23" s="29" t="s">
        <v>16</v>
      </c>
      <c r="G23" s="29" t="s">
        <v>621</v>
      </c>
      <c r="H23" s="38" t="s">
        <v>241</v>
      </c>
      <c r="I23" s="38" t="s">
        <v>242</v>
      </c>
      <c r="J23" s="41" t="s">
        <v>30</v>
      </c>
      <c r="K23" s="30"/>
      <c r="L23" s="36">
        <v>117.5</v>
      </c>
      <c r="M23" s="29" t="str">
        <f>"102,2602"</f>
        <v>102,2602</v>
      </c>
      <c r="N23" s="29" t="s">
        <v>243</v>
      </c>
    </row>
    <row r="24" spans="1:14" ht="12.75">
      <c r="A24" s="48" t="s">
        <v>570</v>
      </c>
      <c r="B24" s="27" t="s">
        <v>245</v>
      </c>
      <c r="C24" s="27" t="s">
        <v>246</v>
      </c>
      <c r="D24" s="27" t="s">
        <v>247</v>
      </c>
      <c r="E24" s="27" t="str">
        <f>"0,8529"</f>
        <v>0,8529</v>
      </c>
      <c r="F24" s="27" t="s">
        <v>16</v>
      </c>
      <c r="G24" s="27" t="s">
        <v>17</v>
      </c>
      <c r="H24" s="46" t="s">
        <v>248</v>
      </c>
      <c r="I24" s="44" t="s">
        <v>241</v>
      </c>
      <c r="J24" s="44" t="s">
        <v>241</v>
      </c>
      <c r="K24" s="28"/>
      <c r="L24" s="48">
        <v>105</v>
      </c>
      <c r="M24" s="27" t="str">
        <f>"89,5545"</f>
        <v>89,5545</v>
      </c>
      <c r="N24" s="27" t="s">
        <v>40</v>
      </c>
    </row>
    <row r="26" spans="1:13" ht="15.75">
      <c r="A26"/>
      <c r="B26" s="171" t="s">
        <v>24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</row>
    <row r="27" spans="1:14" ht="12.75">
      <c r="A27" s="47" t="s">
        <v>562</v>
      </c>
      <c r="B27" s="25" t="s">
        <v>249</v>
      </c>
      <c r="C27" s="25" t="s">
        <v>250</v>
      </c>
      <c r="D27" s="25" t="s">
        <v>251</v>
      </c>
      <c r="E27" s="25" t="str">
        <f>"0,7872"</f>
        <v>0,7872</v>
      </c>
      <c r="F27" s="25" t="s">
        <v>16</v>
      </c>
      <c r="G27" s="25" t="s">
        <v>252</v>
      </c>
      <c r="H27" s="45" t="s">
        <v>253</v>
      </c>
      <c r="I27" s="45" t="s">
        <v>78</v>
      </c>
      <c r="J27" s="43" t="s">
        <v>58</v>
      </c>
      <c r="K27" s="26"/>
      <c r="L27" s="47">
        <v>150</v>
      </c>
      <c r="M27" s="25" t="str">
        <f>"118,0800"</f>
        <v>118,0800</v>
      </c>
      <c r="N27" s="25" t="s">
        <v>40</v>
      </c>
    </row>
    <row r="28" spans="1:14" ht="12.75">
      <c r="A28" s="36" t="s">
        <v>562</v>
      </c>
      <c r="B28" s="29" t="s">
        <v>249</v>
      </c>
      <c r="C28" s="29" t="s">
        <v>254</v>
      </c>
      <c r="D28" s="29" t="s">
        <v>251</v>
      </c>
      <c r="E28" s="29" t="str">
        <f>"0,7872"</f>
        <v>0,7872</v>
      </c>
      <c r="F28" s="29" t="s">
        <v>16</v>
      </c>
      <c r="G28" s="29" t="s">
        <v>252</v>
      </c>
      <c r="H28" s="38" t="s">
        <v>253</v>
      </c>
      <c r="I28" s="38" t="s">
        <v>78</v>
      </c>
      <c r="J28" s="41" t="s">
        <v>58</v>
      </c>
      <c r="K28" s="30"/>
      <c r="L28" s="36">
        <v>150</v>
      </c>
      <c r="M28" s="29" t="str">
        <f>"118,0800"</f>
        <v>118,0800</v>
      </c>
      <c r="N28" s="29" t="s">
        <v>40</v>
      </c>
    </row>
    <row r="30" spans="1:13" ht="15.75">
      <c r="A30"/>
      <c r="B30" s="171" t="s">
        <v>34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</row>
    <row r="31" spans="1:14" ht="12.75">
      <c r="A31" s="36" t="s">
        <v>562</v>
      </c>
      <c r="B31" s="29" t="s">
        <v>255</v>
      </c>
      <c r="C31" s="29" t="s">
        <v>256</v>
      </c>
      <c r="D31" s="29" t="s">
        <v>257</v>
      </c>
      <c r="E31" s="29" t="str">
        <f>"0,7139"</f>
        <v>0,7139</v>
      </c>
      <c r="F31" s="29" t="s">
        <v>16</v>
      </c>
      <c r="G31" s="29" t="s">
        <v>17</v>
      </c>
      <c r="H31" s="38" t="s">
        <v>30</v>
      </c>
      <c r="I31" s="38" t="s">
        <v>258</v>
      </c>
      <c r="J31" s="41" t="s">
        <v>82</v>
      </c>
      <c r="K31" s="30"/>
      <c r="L31" s="36">
        <v>127.5</v>
      </c>
      <c r="M31" s="29" t="str">
        <f>"91,0223"</f>
        <v>91,0223</v>
      </c>
      <c r="N31" s="29" t="s">
        <v>259</v>
      </c>
    </row>
    <row r="32" spans="1:14" ht="12.75">
      <c r="A32" s="36" t="s">
        <v>562</v>
      </c>
      <c r="B32" s="29" t="s">
        <v>260</v>
      </c>
      <c r="C32" s="29" t="s">
        <v>261</v>
      </c>
      <c r="D32" s="29" t="s">
        <v>262</v>
      </c>
      <c r="E32" s="29" t="str">
        <f>"0,7398"</f>
        <v>0,7398</v>
      </c>
      <c r="F32" s="29" t="s">
        <v>16</v>
      </c>
      <c r="G32" s="29" t="s">
        <v>17</v>
      </c>
      <c r="H32" s="38" t="s">
        <v>242</v>
      </c>
      <c r="I32" s="38" t="s">
        <v>30</v>
      </c>
      <c r="J32" s="41" t="s">
        <v>89</v>
      </c>
      <c r="K32" s="30"/>
      <c r="L32" s="36">
        <v>120</v>
      </c>
      <c r="M32" s="29" t="str">
        <f>"88,7760"</f>
        <v>88,7760</v>
      </c>
      <c r="N32" s="29" t="s">
        <v>259</v>
      </c>
    </row>
    <row r="33" spans="1:14" ht="12.75">
      <c r="A33" s="36" t="s">
        <v>570</v>
      </c>
      <c r="B33" s="29" t="s">
        <v>264</v>
      </c>
      <c r="C33" s="29" t="s">
        <v>265</v>
      </c>
      <c r="D33" s="29" t="s">
        <v>37</v>
      </c>
      <c r="E33" s="29" t="str">
        <f>"0,7126"</f>
        <v>0,7126</v>
      </c>
      <c r="F33" s="29" t="s">
        <v>216</v>
      </c>
      <c r="G33" s="29" t="s">
        <v>17</v>
      </c>
      <c r="H33" s="38" t="s">
        <v>103</v>
      </c>
      <c r="I33" s="38" t="s">
        <v>242</v>
      </c>
      <c r="J33" s="41" t="s">
        <v>89</v>
      </c>
      <c r="K33" s="30"/>
      <c r="L33" s="36">
        <v>117.5</v>
      </c>
      <c r="M33" s="29" t="str">
        <f>"83,7305"</f>
        <v>83,7305</v>
      </c>
      <c r="N33" s="29" t="s">
        <v>217</v>
      </c>
    </row>
    <row r="34" spans="1:14" ht="12.75">
      <c r="A34" s="36"/>
      <c r="B34" s="29" t="s">
        <v>266</v>
      </c>
      <c r="C34" s="29" t="s">
        <v>267</v>
      </c>
      <c r="D34" s="29" t="s">
        <v>268</v>
      </c>
      <c r="E34" s="29" t="str">
        <f>"0,7307"</f>
        <v>0,7307</v>
      </c>
      <c r="F34" s="29" t="s">
        <v>16</v>
      </c>
      <c r="G34" s="29" t="s">
        <v>101</v>
      </c>
      <c r="H34" s="41" t="s">
        <v>242</v>
      </c>
      <c r="I34" s="30"/>
      <c r="J34" s="30"/>
      <c r="K34" s="30"/>
      <c r="L34" s="36"/>
      <c r="M34" s="29" t="str">
        <f>"0,0000"</f>
        <v>0,0000</v>
      </c>
      <c r="N34" s="29" t="s">
        <v>40</v>
      </c>
    </row>
    <row r="36" spans="1:13" ht="15.75">
      <c r="A36"/>
      <c r="B36" s="171" t="s">
        <v>62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</row>
    <row r="37" spans="1:14" ht="12.75">
      <c r="A37" s="36"/>
      <c r="B37" s="29" t="s">
        <v>269</v>
      </c>
      <c r="C37" s="29" t="s">
        <v>270</v>
      </c>
      <c r="D37" s="29" t="s">
        <v>271</v>
      </c>
      <c r="E37" s="29" t="str">
        <f>"0,6795"</f>
        <v>0,6795</v>
      </c>
      <c r="F37" s="29" t="s">
        <v>16</v>
      </c>
      <c r="G37" s="29" t="s">
        <v>17</v>
      </c>
      <c r="H37" s="41" t="s">
        <v>51</v>
      </c>
      <c r="I37" s="30"/>
      <c r="J37" s="30"/>
      <c r="K37" s="30"/>
      <c r="L37" s="36"/>
      <c r="M37" s="29" t="str">
        <f>"0,0000"</f>
        <v>0,0000</v>
      </c>
      <c r="N37" s="29" t="s">
        <v>272</v>
      </c>
    </row>
    <row r="38" spans="1:14" ht="12.75">
      <c r="A38" s="36" t="s">
        <v>562</v>
      </c>
      <c r="B38" s="29" t="s">
        <v>273</v>
      </c>
      <c r="C38" s="29" t="s">
        <v>274</v>
      </c>
      <c r="D38" s="29" t="s">
        <v>275</v>
      </c>
      <c r="E38" s="29" t="str">
        <f>"0,6816"</f>
        <v>0,6816</v>
      </c>
      <c r="F38" s="29" t="s">
        <v>16</v>
      </c>
      <c r="G38" s="29" t="s">
        <v>591</v>
      </c>
      <c r="H38" s="38" t="s">
        <v>253</v>
      </c>
      <c r="I38" s="41" t="s">
        <v>78</v>
      </c>
      <c r="J38" s="41" t="s">
        <v>78</v>
      </c>
      <c r="K38" s="30"/>
      <c r="L38" s="36">
        <v>145</v>
      </c>
      <c r="M38" s="29" t="str">
        <f>"98,8320"</f>
        <v>98,8320</v>
      </c>
      <c r="N38" s="29" t="s">
        <v>40</v>
      </c>
    </row>
    <row r="39" spans="1:14" ht="12.75">
      <c r="A39" s="36" t="s">
        <v>570</v>
      </c>
      <c r="B39" s="29" t="s">
        <v>276</v>
      </c>
      <c r="C39" s="29" t="s">
        <v>277</v>
      </c>
      <c r="D39" s="29" t="s">
        <v>271</v>
      </c>
      <c r="E39" s="29" t="str">
        <f>"0,6795"</f>
        <v>0,6795</v>
      </c>
      <c r="F39" s="29" t="s">
        <v>16</v>
      </c>
      <c r="G39" s="29" t="s">
        <v>17</v>
      </c>
      <c r="H39" s="38" t="s">
        <v>51</v>
      </c>
      <c r="I39" s="38" t="s">
        <v>253</v>
      </c>
      <c r="J39" s="41" t="s">
        <v>78</v>
      </c>
      <c r="K39" s="30"/>
      <c r="L39" s="36">
        <v>145</v>
      </c>
      <c r="M39" s="29" t="str">
        <f>"98,5275"</f>
        <v>98,5275</v>
      </c>
      <c r="N39" s="29" t="s">
        <v>40</v>
      </c>
    </row>
    <row r="40" spans="1:14" ht="12.75">
      <c r="A40" s="36" t="s">
        <v>572</v>
      </c>
      <c r="B40" s="29" t="s">
        <v>278</v>
      </c>
      <c r="C40" s="29" t="s">
        <v>279</v>
      </c>
      <c r="D40" s="29" t="s">
        <v>280</v>
      </c>
      <c r="E40" s="29" t="str">
        <f>"0,6769"</f>
        <v>0,6769</v>
      </c>
      <c r="F40" s="29" t="s">
        <v>134</v>
      </c>
      <c r="G40" s="29" t="s">
        <v>281</v>
      </c>
      <c r="H40" s="41" t="s">
        <v>52</v>
      </c>
      <c r="I40" s="38" t="s">
        <v>282</v>
      </c>
      <c r="J40" s="41" t="s">
        <v>253</v>
      </c>
      <c r="K40" s="30"/>
      <c r="L40" s="36">
        <v>140</v>
      </c>
      <c r="M40" s="29" t="str">
        <f>"94,7660"</f>
        <v>94,7660</v>
      </c>
      <c r="N40" s="29" t="s">
        <v>283</v>
      </c>
    </row>
    <row r="42" spans="1:13" ht="15.75">
      <c r="A42"/>
      <c r="B42" s="171" t="s">
        <v>85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</row>
    <row r="43" spans="1:14" ht="12.75">
      <c r="A43" s="36" t="s">
        <v>562</v>
      </c>
      <c r="B43" s="29" t="s">
        <v>603</v>
      </c>
      <c r="C43" s="29" t="s">
        <v>284</v>
      </c>
      <c r="D43" s="29" t="s">
        <v>285</v>
      </c>
      <c r="E43" s="29" t="str">
        <f>"0,6424"</f>
        <v>0,6424</v>
      </c>
      <c r="F43" s="29" t="s">
        <v>16</v>
      </c>
      <c r="G43" s="29" t="s">
        <v>17</v>
      </c>
      <c r="H43" s="38" t="s">
        <v>58</v>
      </c>
      <c r="I43" s="38" t="s">
        <v>59</v>
      </c>
      <c r="J43" s="38" t="s">
        <v>286</v>
      </c>
      <c r="K43" s="30"/>
      <c r="L43" s="36">
        <v>162.5</v>
      </c>
      <c r="M43" s="29" t="str">
        <f>"104,3900"</f>
        <v>104,3900</v>
      </c>
      <c r="N43" s="29" t="s">
        <v>40</v>
      </c>
    </row>
    <row r="44" spans="1:14" ht="12.75">
      <c r="A44" s="36" t="s">
        <v>570</v>
      </c>
      <c r="B44" s="29" t="s">
        <v>604</v>
      </c>
      <c r="C44" s="29" t="s">
        <v>288</v>
      </c>
      <c r="D44" s="29" t="s">
        <v>289</v>
      </c>
      <c r="E44" s="29" t="str">
        <f>"0,6428"</f>
        <v>0,6428</v>
      </c>
      <c r="F44" s="29" t="s">
        <v>134</v>
      </c>
      <c r="G44" s="29" t="s">
        <v>281</v>
      </c>
      <c r="H44" s="38" t="s">
        <v>38</v>
      </c>
      <c r="I44" s="41" t="s">
        <v>58</v>
      </c>
      <c r="J44" s="38" t="s">
        <v>58</v>
      </c>
      <c r="K44" s="30"/>
      <c r="L44" s="36">
        <v>155</v>
      </c>
      <c r="M44" s="29" t="str">
        <f>"99,6340"</f>
        <v>99,6340</v>
      </c>
      <c r="N44" s="29" t="s">
        <v>283</v>
      </c>
    </row>
    <row r="45" spans="1:14" ht="12.75">
      <c r="A45" s="36" t="s">
        <v>572</v>
      </c>
      <c r="B45" s="29" t="s">
        <v>605</v>
      </c>
      <c r="C45" s="29" t="s">
        <v>290</v>
      </c>
      <c r="D45" s="29" t="s">
        <v>291</v>
      </c>
      <c r="E45" s="29" t="str">
        <f>"0,6406"</f>
        <v>0,6406</v>
      </c>
      <c r="F45" s="29" t="s">
        <v>16</v>
      </c>
      <c r="G45" s="29" t="s">
        <v>17</v>
      </c>
      <c r="H45" s="38" t="s">
        <v>66</v>
      </c>
      <c r="I45" s="38" t="s">
        <v>58</v>
      </c>
      <c r="J45" s="41" t="s">
        <v>59</v>
      </c>
      <c r="K45" s="30"/>
      <c r="L45" s="36">
        <v>155</v>
      </c>
      <c r="M45" s="29" t="str">
        <f>"99,2930"</f>
        <v>99,2930</v>
      </c>
      <c r="N45" s="29" t="s">
        <v>40</v>
      </c>
    </row>
    <row r="46" spans="1:14" ht="12.75">
      <c r="A46" s="36" t="s">
        <v>599</v>
      </c>
      <c r="B46" s="29" t="s">
        <v>606</v>
      </c>
      <c r="C46" s="29" t="s">
        <v>292</v>
      </c>
      <c r="D46" s="29" t="s">
        <v>293</v>
      </c>
      <c r="E46" s="29" t="str">
        <f>"0,6421"</f>
        <v>0,6421</v>
      </c>
      <c r="F46" s="29" t="s">
        <v>16</v>
      </c>
      <c r="G46" s="29" t="s">
        <v>17</v>
      </c>
      <c r="H46" s="38" t="s">
        <v>30</v>
      </c>
      <c r="I46" s="38" t="s">
        <v>89</v>
      </c>
      <c r="J46" s="41" t="s">
        <v>96</v>
      </c>
      <c r="K46" s="30"/>
      <c r="L46" s="36">
        <v>125</v>
      </c>
      <c r="M46" s="29" t="str">
        <f>"80,2625"</f>
        <v>80,2625</v>
      </c>
      <c r="N46" s="29" t="s">
        <v>40</v>
      </c>
    </row>
    <row r="47" spans="1:14" ht="12.75">
      <c r="A47" s="36" t="s">
        <v>562</v>
      </c>
      <c r="B47" s="29" t="s">
        <v>607</v>
      </c>
      <c r="C47" s="29" t="s">
        <v>295</v>
      </c>
      <c r="D47" s="29" t="s">
        <v>296</v>
      </c>
      <c r="E47" s="29" t="str">
        <f>"0,6440"</f>
        <v>0,6440</v>
      </c>
      <c r="F47" s="29" t="s">
        <v>16</v>
      </c>
      <c r="G47" s="29" t="s">
        <v>17</v>
      </c>
      <c r="H47" s="38" t="s">
        <v>102</v>
      </c>
      <c r="I47" s="38" t="s">
        <v>103</v>
      </c>
      <c r="J47" s="41" t="s">
        <v>282</v>
      </c>
      <c r="K47" s="30"/>
      <c r="L47" s="36">
        <v>110</v>
      </c>
      <c r="M47" s="29" t="str">
        <f>"88,5500"</f>
        <v>88,5500</v>
      </c>
      <c r="N47" s="29" t="s">
        <v>626</v>
      </c>
    </row>
    <row r="49" spans="1:13" ht="15.75">
      <c r="A49"/>
      <c r="B49" s="171" t="s">
        <v>115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</row>
    <row r="50" spans="1:14" ht="12.75">
      <c r="A50" s="36" t="s">
        <v>562</v>
      </c>
      <c r="B50" s="29" t="s">
        <v>608</v>
      </c>
      <c r="C50" s="29" t="s">
        <v>297</v>
      </c>
      <c r="D50" s="29" t="s">
        <v>298</v>
      </c>
      <c r="E50" s="29" t="str">
        <f>"0,6223"</f>
        <v>0,6223</v>
      </c>
      <c r="F50" s="29" t="s">
        <v>16</v>
      </c>
      <c r="G50" s="29" t="s">
        <v>17</v>
      </c>
      <c r="H50" s="38" t="s">
        <v>82</v>
      </c>
      <c r="I50" s="38" t="s">
        <v>38</v>
      </c>
      <c r="J50" s="41" t="s">
        <v>286</v>
      </c>
      <c r="K50" s="30"/>
      <c r="L50" s="36">
        <v>147.5</v>
      </c>
      <c r="M50" s="29" t="str">
        <f>"91,7893"</f>
        <v>91,7893</v>
      </c>
      <c r="N50" s="29" t="s">
        <v>259</v>
      </c>
    </row>
    <row r="51" spans="1:14" ht="12.75">
      <c r="A51" s="36" t="s">
        <v>562</v>
      </c>
      <c r="B51" s="29" t="s">
        <v>609</v>
      </c>
      <c r="C51" s="29" t="s">
        <v>300</v>
      </c>
      <c r="D51" s="29" t="s">
        <v>301</v>
      </c>
      <c r="E51" s="29" t="str">
        <f>"0,6211"</f>
        <v>0,6211</v>
      </c>
      <c r="F51" s="29" t="s">
        <v>16</v>
      </c>
      <c r="G51" s="29" t="s">
        <v>302</v>
      </c>
      <c r="H51" s="38" t="s">
        <v>72</v>
      </c>
      <c r="I51" s="38" t="s">
        <v>119</v>
      </c>
      <c r="J51" s="41" t="s">
        <v>120</v>
      </c>
      <c r="K51" s="30"/>
      <c r="L51" s="36">
        <v>195</v>
      </c>
      <c r="M51" s="29" t="str">
        <f>"121,1145"</f>
        <v>121,1145</v>
      </c>
      <c r="N51" s="29" t="s">
        <v>627</v>
      </c>
    </row>
    <row r="52" spans="1:14" ht="12.75">
      <c r="A52" s="36" t="s">
        <v>570</v>
      </c>
      <c r="B52" s="29" t="s">
        <v>610</v>
      </c>
      <c r="C52" s="29" t="s">
        <v>303</v>
      </c>
      <c r="D52" s="29" t="s">
        <v>133</v>
      </c>
      <c r="E52" s="29" t="str">
        <f>"0,6088"</f>
        <v>0,6088</v>
      </c>
      <c r="F52" s="29" t="s">
        <v>16</v>
      </c>
      <c r="G52" s="29" t="s">
        <v>304</v>
      </c>
      <c r="H52" s="41" t="s">
        <v>125</v>
      </c>
      <c r="I52" s="38" t="s">
        <v>125</v>
      </c>
      <c r="J52" s="38" t="s">
        <v>136</v>
      </c>
      <c r="K52" s="30"/>
      <c r="L52" s="36">
        <v>175</v>
      </c>
      <c r="M52" s="29" t="str">
        <f>"106,5400"</f>
        <v>106,5400</v>
      </c>
      <c r="N52" s="29" t="s">
        <v>305</v>
      </c>
    </row>
    <row r="53" spans="1:14" ht="12.75">
      <c r="A53" s="36" t="s">
        <v>572</v>
      </c>
      <c r="B53" s="29" t="s">
        <v>611</v>
      </c>
      <c r="C53" s="29" t="s">
        <v>306</v>
      </c>
      <c r="D53" s="29" t="s">
        <v>307</v>
      </c>
      <c r="E53" s="29" t="str">
        <f>"0,6113"</f>
        <v>0,6113</v>
      </c>
      <c r="F53" s="29" t="s">
        <v>16</v>
      </c>
      <c r="G53" s="29" t="s">
        <v>623</v>
      </c>
      <c r="H53" s="38" t="s">
        <v>153</v>
      </c>
      <c r="I53" s="41" t="s">
        <v>72</v>
      </c>
      <c r="J53" s="41" t="s">
        <v>72</v>
      </c>
      <c r="K53" s="30"/>
      <c r="L53" s="36">
        <v>167.5</v>
      </c>
      <c r="M53" s="29" t="str">
        <f>"102,3927"</f>
        <v>102,3927</v>
      </c>
      <c r="N53" s="29" t="s">
        <v>40</v>
      </c>
    </row>
    <row r="54" spans="1:14" ht="12.75">
      <c r="A54" s="36" t="s">
        <v>599</v>
      </c>
      <c r="B54" s="29" t="s">
        <v>612</v>
      </c>
      <c r="C54" s="29" t="s">
        <v>308</v>
      </c>
      <c r="D54" s="29" t="s">
        <v>309</v>
      </c>
      <c r="E54" s="29" t="str">
        <f>"0,6116"</f>
        <v>0,6116</v>
      </c>
      <c r="F54" s="29" t="s">
        <v>310</v>
      </c>
      <c r="G54" s="29" t="s">
        <v>17</v>
      </c>
      <c r="H54" s="38" t="s">
        <v>78</v>
      </c>
      <c r="I54" s="38" t="s">
        <v>58</v>
      </c>
      <c r="J54" s="41" t="s">
        <v>59</v>
      </c>
      <c r="K54" s="30"/>
      <c r="L54" s="36">
        <v>155</v>
      </c>
      <c r="M54" s="29" t="str">
        <f>"94,7980"</f>
        <v>94,7980</v>
      </c>
      <c r="N54" s="29" t="s">
        <v>311</v>
      </c>
    </row>
    <row r="55" spans="1:14" ht="12.75">
      <c r="A55" s="36" t="s">
        <v>600</v>
      </c>
      <c r="B55" s="29" t="s">
        <v>613</v>
      </c>
      <c r="C55" s="29" t="s">
        <v>312</v>
      </c>
      <c r="D55" s="29" t="s">
        <v>313</v>
      </c>
      <c r="E55" s="29" t="str">
        <f>"0,6315"</f>
        <v>0,6315</v>
      </c>
      <c r="F55" s="29" t="s">
        <v>16</v>
      </c>
      <c r="G55" s="29" t="s">
        <v>17</v>
      </c>
      <c r="H55" s="38" t="s">
        <v>253</v>
      </c>
      <c r="I55" s="38" t="s">
        <v>78</v>
      </c>
      <c r="J55" s="38" t="s">
        <v>66</v>
      </c>
      <c r="K55" s="30"/>
      <c r="L55" s="36">
        <v>152.5</v>
      </c>
      <c r="M55" s="29" t="str">
        <f>"96,3038"</f>
        <v>96,3038</v>
      </c>
      <c r="N55" s="29" t="s">
        <v>16</v>
      </c>
    </row>
    <row r="56" spans="1:14" ht="12.75">
      <c r="A56" s="36" t="s">
        <v>601</v>
      </c>
      <c r="B56" s="29" t="s">
        <v>614</v>
      </c>
      <c r="C56" s="29" t="s">
        <v>314</v>
      </c>
      <c r="D56" s="29" t="s">
        <v>301</v>
      </c>
      <c r="E56" s="29" t="str">
        <f>"0,6211"</f>
        <v>0,6211</v>
      </c>
      <c r="F56" s="29" t="s">
        <v>16</v>
      </c>
      <c r="G56" s="29" t="s">
        <v>17</v>
      </c>
      <c r="H56" s="38" t="s">
        <v>282</v>
      </c>
      <c r="I56" s="38" t="s">
        <v>78</v>
      </c>
      <c r="J56" s="41" t="s">
        <v>286</v>
      </c>
      <c r="K56" s="30"/>
      <c r="L56" s="36">
        <v>150</v>
      </c>
      <c r="M56" s="29" t="str">
        <f>"93,1650"</f>
        <v>93,1650</v>
      </c>
      <c r="N56" s="29" t="s">
        <v>628</v>
      </c>
    </row>
    <row r="57" spans="1:14" ht="12.75">
      <c r="A57" s="36" t="s">
        <v>602</v>
      </c>
      <c r="B57" s="29" t="s">
        <v>615</v>
      </c>
      <c r="C57" s="29" t="s">
        <v>315</v>
      </c>
      <c r="D57" s="29" t="s">
        <v>316</v>
      </c>
      <c r="E57" s="29" t="str">
        <f>"0,6272"</f>
        <v>0,6272</v>
      </c>
      <c r="F57" s="29" t="s">
        <v>16</v>
      </c>
      <c r="G57" s="29" t="s">
        <v>17</v>
      </c>
      <c r="H57" s="38" t="s">
        <v>51</v>
      </c>
      <c r="I57" s="38" t="s">
        <v>282</v>
      </c>
      <c r="J57" s="41" t="s">
        <v>53</v>
      </c>
      <c r="K57" s="30"/>
      <c r="L57" s="36">
        <v>140</v>
      </c>
      <c r="M57" s="29" t="str">
        <f>"87,8080"</f>
        <v>87,8080</v>
      </c>
      <c r="N57" s="29" t="s">
        <v>317</v>
      </c>
    </row>
    <row r="59" spans="1:13" ht="15.75">
      <c r="A59"/>
      <c r="B59" s="171" t="s">
        <v>138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</row>
    <row r="60" spans="1:14" ht="12.75">
      <c r="A60" s="36" t="s">
        <v>562</v>
      </c>
      <c r="B60" s="29" t="s">
        <v>616</v>
      </c>
      <c r="C60" s="29" t="s">
        <v>318</v>
      </c>
      <c r="D60" s="29" t="s">
        <v>319</v>
      </c>
      <c r="E60" s="29" t="str">
        <f>"0,5948"</f>
        <v>0,5948</v>
      </c>
      <c r="F60" s="29" t="s">
        <v>16</v>
      </c>
      <c r="G60" s="29" t="s">
        <v>17</v>
      </c>
      <c r="H60" s="38" t="s">
        <v>38</v>
      </c>
      <c r="I60" s="38" t="s">
        <v>58</v>
      </c>
      <c r="J60" s="38" t="s">
        <v>286</v>
      </c>
      <c r="K60" s="30"/>
      <c r="L60" s="36">
        <v>162.5</v>
      </c>
      <c r="M60" s="29" t="str">
        <f>"96,6550"</f>
        <v>96,6550</v>
      </c>
      <c r="N60" s="29" t="s">
        <v>629</v>
      </c>
    </row>
    <row r="61" spans="1:14" ht="12.75">
      <c r="A61" s="36" t="s">
        <v>570</v>
      </c>
      <c r="B61" s="29" t="s">
        <v>617</v>
      </c>
      <c r="C61" s="29" t="s">
        <v>308</v>
      </c>
      <c r="D61" s="29" t="s">
        <v>320</v>
      </c>
      <c r="E61" s="29" t="str">
        <f>"0,5982"</f>
        <v>0,5982</v>
      </c>
      <c r="F61" s="29" t="s">
        <v>310</v>
      </c>
      <c r="G61" s="29" t="s">
        <v>17</v>
      </c>
      <c r="H61" s="38" t="s">
        <v>78</v>
      </c>
      <c r="I61" s="38" t="s">
        <v>321</v>
      </c>
      <c r="J61" s="41" t="s">
        <v>286</v>
      </c>
      <c r="K61" s="30"/>
      <c r="L61" s="36">
        <v>157.5</v>
      </c>
      <c r="M61" s="29" t="str">
        <f>"94,2165"</f>
        <v>94,2165</v>
      </c>
      <c r="N61" s="29" t="s">
        <v>322</v>
      </c>
    </row>
    <row r="62" spans="1:14" ht="12.75">
      <c r="A62" s="36" t="s">
        <v>572</v>
      </c>
      <c r="B62" s="29" t="s">
        <v>618</v>
      </c>
      <c r="C62" s="29" t="s">
        <v>323</v>
      </c>
      <c r="D62" s="29" t="s">
        <v>324</v>
      </c>
      <c r="E62" s="29" t="str">
        <f>"0,5928"</f>
        <v>0,5928</v>
      </c>
      <c r="F62" s="29" t="s">
        <v>114</v>
      </c>
      <c r="G62" s="29" t="s">
        <v>17</v>
      </c>
      <c r="H62" s="38" t="s">
        <v>282</v>
      </c>
      <c r="I62" s="38" t="s">
        <v>38</v>
      </c>
      <c r="J62" s="38" t="s">
        <v>78</v>
      </c>
      <c r="K62" s="30"/>
      <c r="L62" s="36">
        <v>150</v>
      </c>
      <c r="M62" s="29" t="str">
        <f>"88,9200"</f>
        <v>88,9200</v>
      </c>
      <c r="N62" s="29" t="s">
        <v>325</v>
      </c>
    </row>
    <row r="63" spans="1:14" ht="12.75">
      <c r="A63" s="36"/>
      <c r="B63" s="29" t="s">
        <v>326</v>
      </c>
      <c r="C63" s="29" t="s">
        <v>327</v>
      </c>
      <c r="D63" s="29" t="s">
        <v>328</v>
      </c>
      <c r="E63" s="29" t="str">
        <f>"0,5897"</f>
        <v>0,5897</v>
      </c>
      <c r="F63" s="29" t="s">
        <v>16</v>
      </c>
      <c r="G63" s="29" t="s">
        <v>624</v>
      </c>
      <c r="H63" s="41" t="s">
        <v>329</v>
      </c>
      <c r="I63" s="41" t="s">
        <v>119</v>
      </c>
      <c r="J63" s="30"/>
      <c r="K63" s="30"/>
      <c r="L63" s="36">
        <v>0</v>
      </c>
      <c r="M63" s="29" t="str">
        <f>"0,0000"</f>
        <v>0,0000</v>
      </c>
      <c r="N63" s="29" t="s">
        <v>91</v>
      </c>
    </row>
    <row r="65" spans="1:13" ht="15.75">
      <c r="A65"/>
      <c r="B65" s="171" t="s">
        <v>163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</row>
    <row r="66" spans="1:14" ht="12.75">
      <c r="A66" s="36" t="s">
        <v>562</v>
      </c>
      <c r="B66" s="29" t="s">
        <v>619</v>
      </c>
      <c r="C66" s="29" t="s">
        <v>331</v>
      </c>
      <c r="D66" s="29" t="s">
        <v>332</v>
      </c>
      <c r="E66" s="29" t="str">
        <f>"0,5769"</f>
        <v>0,5769</v>
      </c>
      <c r="F66" s="29" t="s">
        <v>16</v>
      </c>
      <c r="G66" s="29" t="s">
        <v>71</v>
      </c>
      <c r="H66" s="38" t="s">
        <v>119</v>
      </c>
      <c r="I66" s="38" t="s">
        <v>333</v>
      </c>
      <c r="J66" s="41" t="s">
        <v>334</v>
      </c>
      <c r="K66" s="30"/>
      <c r="L66" s="36">
        <v>202.5</v>
      </c>
      <c r="M66" s="29" t="str">
        <f>"116,8223"</f>
        <v>116,8223</v>
      </c>
      <c r="N66" s="29" t="s">
        <v>630</v>
      </c>
    </row>
    <row r="67" spans="1:14" ht="12.75">
      <c r="A67" s="36" t="s">
        <v>570</v>
      </c>
      <c r="B67" s="29" t="s">
        <v>620</v>
      </c>
      <c r="C67" s="29" t="s">
        <v>335</v>
      </c>
      <c r="D67" s="29" t="s">
        <v>336</v>
      </c>
      <c r="E67" s="29" t="str">
        <f>"0,5713"</f>
        <v>0,5713</v>
      </c>
      <c r="F67" s="29" t="s">
        <v>134</v>
      </c>
      <c r="G67" s="29" t="s">
        <v>135</v>
      </c>
      <c r="H67" s="38" t="s">
        <v>125</v>
      </c>
      <c r="I67" s="38" t="s">
        <v>337</v>
      </c>
      <c r="J67" s="38" t="s">
        <v>109</v>
      </c>
      <c r="K67" s="30"/>
      <c r="L67" s="36">
        <v>180</v>
      </c>
      <c r="M67" s="29" t="str">
        <f>"102,8340"</f>
        <v>102,8340</v>
      </c>
      <c r="N67" s="29" t="s">
        <v>338</v>
      </c>
    </row>
    <row r="70" spans="2:3" ht="18">
      <c r="B70" s="31" t="s">
        <v>183</v>
      </c>
      <c r="C70" s="31"/>
    </row>
    <row r="72" spans="2:3" ht="15.75">
      <c r="B72" s="32" t="s">
        <v>195</v>
      </c>
      <c r="C72" s="32"/>
    </row>
    <row r="73" spans="2:3" ht="13.5">
      <c r="B73" s="76" t="s">
        <v>192</v>
      </c>
      <c r="C73" s="34"/>
    </row>
    <row r="74" spans="2:6" ht="13.5">
      <c r="B74" s="35" t="s">
        <v>186</v>
      </c>
      <c r="C74" s="35" t="s">
        <v>187</v>
      </c>
      <c r="D74" s="35" t="s">
        <v>188</v>
      </c>
      <c r="E74" s="35" t="s">
        <v>189</v>
      </c>
      <c r="F74" s="35" t="s">
        <v>190</v>
      </c>
    </row>
    <row r="75" spans="1:6" ht="12.75">
      <c r="A75" s="37" t="s">
        <v>562</v>
      </c>
      <c r="B75" s="33" t="s">
        <v>299</v>
      </c>
      <c r="C75" s="77" t="s">
        <v>192</v>
      </c>
      <c r="D75" s="77" t="s">
        <v>198</v>
      </c>
      <c r="E75" s="77" t="s">
        <v>119</v>
      </c>
      <c r="F75" s="37" t="s">
        <v>341</v>
      </c>
    </row>
    <row r="76" spans="1:6" ht="12.75">
      <c r="A76" s="37" t="s">
        <v>570</v>
      </c>
      <c r="B76" s="33" t="s">
        <v>249</v>
      </c>
      <c r="C76" s="77" t="s">
        <v>192</v>
      </c>
      <c r="D76" s="77" t="s">
        <v>194</v>
      </c>
      <c r="E76" s="77" t="s">
        <v>78</v>
      </c>
      <c r="F76" s="37" t="s">
        <v>340</v>
      </c>
    </row>
    <row r="77" spans="1:6" ht="12.75">
      <c r="A77" s="37" t="s">
        <v>572</v>
      </c>
      <c r="B77" s="33" t="s">
        <v>330</v>
      </c>
      <c r="C77" s="77" t="s">
        <v>192</v>
      </c>
      <c r="D77" s="77" t="s">
        <v>196</v>
      </c>
      <c r="E77" s="77" t="s">
        <v>333</v>
      </c>
      <c r="F77" s="37" t="s">
        <v>342</v>
      </c>
    </row>
  </sheetData>
  <sheetProtection/>
  <mergeCells count="25">
    <mergeCell ref="B1:N2"/>
    <mergeCell ref="B3:B4"/>
    <mergeCell ref="C3:C4"/>
    <mergeCell ref="D3:D4"/>
    <mergeCell ref="E3:E4"/>
    <mergeCell ref="F3:F4"/>
    <mergeCell ref="G3:G4"/>
    <mergeCell ref="H3:K3"/>
    <mergeCell ref="B36:M36"/>
    <mergeCell ref="L3:L4"/>
    <mergeCell ref="M3:M4"/>
    <mergeCell ref="N3:N4"/>
    <mergeCell ref="B5:M5"/>
    <mergeCell ref="B9:M9"/>
    <mergeCell ref="B12:M12"/>
    <mergeCell ref="B42:M42"/>
    <mergeCell ref="B49:M49"/>
    <mergeCell ref="B59:M59"/>
    <mergeCell ref="B65:M65"/>
    <mergeCell ref="A3:A4"/>
    <mergeCell ref="B15:M15"/>
    <mergeCell ref="B18:M18"/>
    <mergeCell ref="B21:M21"/>
    <mergeCell ref="B26:M26"/>
    <mergeCell ref="B30:M3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workbookViewId="0" topLeftCell="A11">
      <selection activeCell="A44" sqref="A44"/>
    </sheetView>
  </sheetViews>
  <sheetFormatPr defaultColWidth="9.125" defaultRowHeight="12.75"/>
  <cols>
    <col min="1" max="1" width="5.875" style="39" customWidth="1"/>
    <col min="2" max="2" width="22.75390625" style="55" customWidth="1"/>
    <col min="3" max="3" width="26.875" style="1" bestFit="1" customWidth="1"/>
    <col min="4" max="4" width="10.375" style="5" bestFit="1" customWidth="1"/>
    <col min="5" max="5" width="8.375" style="1" bestFit="1" customWidth="1"/>
    <col min="6" max="6" width="23.25390625" style="4" customWidth="1"/>
    <col min="7" max="7" width="32.25390625" style="4" bestFit="1" customWidth="1"/>
    <col min="8" max="10" width="5.625" style="1" bestFit="1" customWidth="1"/>
    <col min="11" max="11" width="4.625" style="1" bestFit="1" customWidth="1"/>
    <col min="12" max="12" width="11.00390625" style="39" customWidth="1"/>
    <col min="13" max="13" width="8.625" style="1" bestFit="1" customWidth="1"/>
    <col min="14" max="14" width="19.75390625" style="4" customWidth="1"/>
    <col min="15" max="16384" width="9.125" style="1" customWidth="1"/>
  </cols>
  <sheetData>
    <row r="1" spans="1:14" ht="15" customHeight="1">
      <c r="A1" s="1"/>
      <c r="B1" s="163" t="s">
        <v>582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73.5" customHeight="1" thickBot="1">
      <c r="A2" s="1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s="2" customFormat="1" ht="12.75" customHeight="1">
      <c r="A3" s="161" t="s">
        <v>561</v>
      </c>
      <c r="B3" s="165" t="s">
        <v>0</v>
      </c>
      <c r="C3" s="167" t="s">
        <v>9</v>
      </c>
      <c r="D3" s="167" t="s">
        <v>10</v>
      </c>
      <c r="E3" s="151" t="s">
        <v>11</v>
      </c>
      <c r="F3" s="151" t="s">
        <v>7</v>
      </c>
      <c r="G3" s="151" t="s">
        <v>583</v>
      </c>
      <c r="H3" s="151" t="s">
        <v>2</v>
      </c>
      <c r="I3" s="151"/>
      <c r="J3" s="151"/>
      <c r="K3" s="151"/>
      <c r="L3" s="151" t="s">
        <v>567</v>
      </c>
      <c r="M3" s="151" t="s">
        <v>6</v>
      </c>
      <c r="N3" s="169" t="s">
        <v>5</v>
      </c>
    </row>
    <row r="4" spans="1:14" s="2" customFormat="1" ht="35.25" customHeight="1" thickBot="1">
      <c r="A4" s="162"/>
      <c r="B4" s="166"/>
      <c r="C4" s="152"/>
      <c r="D4" s="168"/>
      <c r="E4" s="152"/>
      <c r="F4" s="152"/>
      <c r="G4" s="152"/>
      <c r="H4" s="3">
        <v>1</v>
      </c>
      <c r="I4" s="3">
        <v>2</v>
      </c>
      <c r="J4" s="3">
        <v>3</v>
      </c>
      <c r="K4" s="3" t="s">
        <v>8</v>
      </c>
      <c r="L4" s="152"/>
      <c r="M4" s="152"/>
      <c r="N4" s="170"/>
    </row>
    <row r="5" spans="1:13" ht="15.75">
      <c r="A5" s="1"/>
      <c r="B5" s="193" t="s">
        <v>12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4" ht="12.75">
      <c r="A6" s="59" t="s">
        <v>562</v>
      </c>
      <c r="B6" s="52" t="s">
        <v>13</v>
      </c>
      <c r="C6" s="6" t="s">
        <v>14</v>
      </c>
      <c r="D6" s="7" t="s">
        <v>15</v>
      </c>
      <c r="E6" s="6" t="str">
        <f>"1,1750"</f>
        <v>1,1750</v>
      </c>
      <c r="F6" s="8" t="s">
        <v>16</v>
      </c>
      <c r="G6" s="8" t="s">
        <v>17</v>
      </c>
      <c r="H6" s="62" t="s">
        <v>19</v>
      </c>
      <c r="I6" s="62" t="s">
        <v>20</v>
      </c>
      <c r="J6" s="62" t="s">
        <v>21</v>
      </c>
      <c r="K6" s="9"/>
      <c r="L6" s="59" t="s">
        <v>22</v>
      </c>
      <c r="M6" s="6" t="str">
        <f>"58,7500"</f>
        <v>58,7500</v>
      </c>
      <c r="N6" s="8" t="s">
        <v>23</v>
      </c>
    </row>
    <row r="8" spans="1:13" ht="15.75">
      <c r="A8" s="1"/>
      <c r="B8" s="194" t="s">
        <v>24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4" ht="12.75">
      <c r="A9" s="59" t="s">
        <v>562</v>
      </c>
      <c r="B9" s="52" t="s">
        <v>25</v>
      </c>
      <c r="C9" s="6" t="s">
        <v>26</v>
      </c>
      <c r="D9" s="7" t="s">
        <v>27</v>
      </c>
      <c r="E9" s="6" t="str">
        <f>"1,0374"</f>
        <v>1,0374</v>
      </c>
      <c r="F9" s="8" t="s">
        <v>16</v>
      </c>
      <c r="G9" s="8" t="s">
        <v>28</v>
      </c>
      <c r="H9" s="62" t="s">
        <v>29</v>
      </c>
      <c r="I9" s="62" t="s">
        <v>30</v>
      </c>
      <c r="J9" s="66" t="s">
        <v>31</v>
      </c>
      <c r="K9" s="9"/>
      <c r="L9" s="59" t="s">
        <v>32</v>
      </c>
      <c r="M9" s="6" t="str">
        <f>"124,4880"</f>
        <v>124,4880</v>
      </c>
      <c r="N9" s="8" t="s">
        <v>33</v>
      </c>
    </row>
    <row r="11" spans="1:13" ht="15.75">
      <c r="A11" s="1"/>
      <c r="B11" s="194" t="s">
        <v>34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</row>
    <row r="12" spans="1:14" ht="12.75">
      <c r="A12" s="60" t="s">
        <v>562</v>
      </c>
      <c r="B12" s="53" t="s">
        <v>35</v>
      </c>
      <c r="C12" s="10" t="s">
        <v>36</v>
      </c>
      <c r="D12" s="11" t="s">
        <v>37</v>
      </c>
      <c r="E12" s="10" t="str">
        <f>"0,9506"</f>
        <v>0,9506</v>
      </c>
      <c r="F12" s="12" t="s">
        <v>16</v>
      </c>
      <c r="G12" s="12" t="s">
        <v>589</v>
      </c>
      <c r="H12" s="63" t="s">
        <v>38</v>
      </c>
      <c r="I12" s="64"/>
      <c r="J12" s="13"/>
      <c r="K12" s="13"/>
      <c r="L12" s="60" t="s">
        <v>39</v>
      </c>
      <c r="M12" s="10" t="str">
        <f>"140,2135"</f>
        <v>140,2135</v>
      </c>
      <c r="N12" s="12" t="s">
        <v>40</v>
      </c>
    </row>
    <row r="13" spans="1:14" ht="12.75">
      <c r="A13" s="59" t="s">
        <v>570</v>
      </c>
      <c r="B13" s="52" t="s">
        <v>41</v>
      </c>
      <c r="C13" s="6" t="s">
        <v>42</v>
      </c>
      <c r="D13" s="7" t="s">
        <v>43</v>
      </c>
      <c r="E13" s="6" t="str">
        <f>"0,9629"</f>
        <v>0,9629</v>
      </c>
      <c r="F13" s="8" t="s">
        <v>16</v>
      </c>
      <c r="G13" s="8" t="s">
        <v>597</v>
      </c>
      <c r="H13" s="62" t="s">
        <v>44</v>
      </c>
      <c r="I13" s="62" t="s">
        <v>45</v>
      </c>
      <c r="J13" s="66" t="s">
        <v>46</v>
      </c>
      <c r="K13" s="9"/>
      <c r="L13" s="59" t="s">
        <v>47</v>
      </c>
      <c r="M13" s="6" t="str">
        <f>"72,2175"</f>
        <v>72,2175</v>
      </c>
      <c r="N13" s="8" t="s">
        <v>40</v>
      </c>
    </row>
    <row r="15" spans="1:13" ht="15.75">
      <c r="A15" s="1"/>
      <c r="B15" s="194" t="s">
        <v>24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</row>
    <row r="16" spans="1:14" ht="12.75">
      <c r="A16" s="59" t="s">
        <v>562</v>
      </c>
      <c r="B16" s="52" t="s">
        <v>48</v>
      </c>
      <c r="C16" s="6" t="s">
        <v>49</v>
      </c>
      <c r="D16" s="7" t="s">
        <v>50</v>
      </c>
      <c r="E16" s="6" t="str">
        <f>"0,7785"</f>
        <v>0,7785</v>
      </c>
      <c r="F16" s="8" t="s">
        <v>16</v>
      </c>
      <c r="G16" s="8" t="s">
        <v>590</v>
      </c>
      <c r="H16" s="62" t="s">
        <v>51</v>
      </c>
      <c r="I16" s="62" t="s">
        <v>52</v>
      </c>
      <c r="J16" s="62" t="s">
        <v>53</v>
      </c>
      <c r="K16" s="9"/>
      <c r="L16" s="59" t="s">
        <v>54</v>
      </c>
      <c r="M16" s="6" t="str">
        <f>"110,9363"</f>
        <v>110,9363</v>
      </c>
      <c r="N16" s="8" t="s">
        <v>40</v>
      </c>
    </row>
    <row r="18" spans="1:13" ht="15.75">
      <c r="A18" s="1"/>
      <c r="B18" s="194" t="s">
        <v>34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</row>
    <row r="19" spans="1:14" ht="12.75">
      <c r="A19" s="59" t="s">
        <v>562</v>
      </c>
      <c r="B19" s="52" t="s">
        <v>55</v>
      </c>
      <c r="C19" s="6" t="s">
        <v>56</v>
      </c>
      <c r="D19" s="7" t="s">
        <v>57</v>
      </c>
      <c r="E19" s="6" t="str">
        <f>"0,7285"</f>
        <v>0,7285</v>
      </c>
      <c r="F19" s="8" t="s">
        <v>16</v>
      </c>
      <c r="G19" s="8" t="s">
        <v>17</v>
      </c>
      <c r="H19" s="62" t="s">
        <v>38</v>
      </c>
      <c r="I19" s="62" t="s">
        <v>58</v>
      </c>
      <c r="J19" s="66" t="s">
        <v>59</v>
      </c>
      <c r="K19" s="9"/>
      <c r="L19" s="59" t="s">
        <v>60</v>
      </c>
      <c r="M19" s="6" t="str">
        <f>"112,9175"</f>
        <v>112,9175</v>
      </c>
      <c r="N19" s="8" t="s">
        <v>61</v>
      </c>
    </row>
    <row r="21" spans="1:13" ht="15.75">
      <c r="A21" s="1"/>
      <c r="B21" s="194" t="s">
        <v>62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  <row r="22" spans="1:14" ht="12.75">
      <c r="A22" s="60" t="s">
        <v>562</v>
      </c>
      <c r="B22" s="53" t="s">
        <v>63</v>
      </c>
      <c r="C22" s="10" t="s">
        <v>64</v>
      </c>
      <c r="D22" s="11" t="s">
        <v>65</v>
      </c>
      <c r="E22" s="10" t="str">
        <f>"0,6854"</f>
        <v>0,6854</v>
      </c>
      <c r="F22" s="12" t="s">
        <v>16</v>
      </c>
      <c r="G22" s="12" t="s">
        <v>17</v>
      </c>
      <c r="H22" s="63" t="s">
        <v>38</v>
      </c>
      <c r="I22" s="68" t="s">
        <v>66</v>
      </c>
      <c r="J22" s="69" t="s">
        <v>66</v>
      </c>
      <c r="K22" s="13"/>
      <c r="L22" s="60" t="s">
        <v>67</v>
      </c>
      <c r="M22" s="10" t="str">
        <f>"104,5235"</f>
        <v>104,5235</v>
      </c>
      <c r="N22" s="12" t="s">
        <v>40</v>
      </c>
    </row>
    <row r="23" spans="1:14" ht="12.75">
      <c r="A23" s="59" t="s">
        <v>562</v>
      </c>
      <c r="B23" s="52" t="s">
        <v>68</v>
      </c>
      <c r="C23" s="6" t="s">
        <v>69</v>
      </c>
      <c r="D23" s="7" t="s">
        <v>70</v>
      </c>
      <c r="E23" s="6" t="str">
        <f>"0,6876"</f>
        <v>0,6876</v>
      </c>
      <c r="F23" s="8" t="s">
        <v>16</v>
      </c>
      <c r="G23" s="8" t="s">
        <v>71</v>
      </c>
      <c r="H23" s="62" t="s">
        <v>72</v>
      </c>
      <c r="I23" s="9"/>
      <c r="J23" s="9"/>
      <c r="K23" s="9"/>
      <c r="L23" s="59" t="s">
        <v>73</v>
      </c>
      <c r="M23" s="6" t="str">
        <f>"127,2060"</f>
        <v>127,2060</v>
      </c>
      <c r="N23" s="8" t="s">
        <v>40</v>
      </c>
    </row>
    <row r="24" spans="1:14" ht="12.75">
      <c r="A24" s="59" t="s">
        <v>570</v>
      </c>
      <c r="B24" s="52" t="s">
        <v>74</v>
      </c>
      <c r="C24" s="6" t="s">
        <v>75</v>
      </c>
      <c r="D24" s="7" t="s">
        <v>76</v>
      </c>
      <c r="E24" s="6" t="str">
        <f>"0,6785"</f>
        <v>0,6785</v>
      </c>
      <c r="F24" s="8" t="s">
        <v>77</v>
      </c>
      <c r="G24" s="8" t="s">
        <v>591</v>
      </c>
      <c r="H24" s="66" t="s">
        <v>78</v>
      </c>
      <c r="I24" s="62" t="s">
        <v>58</v>
      </c>
      <c r="J24" s="66" t="s">
        <v>59</v>
      </c>
      <c r="K24" s="9"/>
      <c r="L24" s="59" t="s">
        <v>60</v>
      </c>
      <c r="M24" s="6" t="str">
        <f>"105,1675"</f>
        <v>105,1675</v>
      </c>
      <c r="N24" s="8" t="s">
        <v>595</v>
      </c>
    </row>
    <row r="25" spans="1:14" ht="12.75">
      <c r="A25" s="61" t="s">
        <v>572</v>
      </c>
      <c r="B25" s="54" t="s">
        <v>79</v>
      </c>
      <c r="C25" s="14" t="s">
        <v>80</v>
      </c>
      <c r="D25" s="15" t="s">
        <v>81</v>
      </c>
      <c r="E25" s="14" t="str">
        <f>"0,6790"</f>
        <v>0,6790</v>
      </c>
      <c r="F25" s="16" t="s">
        <v>16</v>
      </c>
      <c r="G25" s="16" t="s">
        <v>592</v>
      </c>
      <c r="H25" s="65" t="s">
        <v>82</v>
      </c>
      <c r="I25" s="67" t="s">
        <v>53</v>
      </c>
      <c r="J25" s="67" t="s">
        <v>53</v>
      </c>
      <c r="K25" s="17"/>
      <c r="L25" s="61" t="s">
        <v>83</v>
      </c>
      <c r="M25" s="14" t="str">
        <f>"91,6650"</f>
        <v>91,6650</v>
      </c>
      <c r="N25" s="16" t="s">
        <v>84</v>
      </c>
    </row>
    <row r="27" spans="1:13" ht="15.75">
      <c r="A27" s="1"/>
      <c r="B27" s="194" t="s">
        <v>85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</row>
    <row r="28" spans="1:14" ht="12.75">
      <c r="A28" s="59" t="s">
        <v>562</v>
      </c>
      <c r="B28" s="52" t="s">
        <v>86</v>
      </c>
      <c r="C28" s="6" t="s">
        <v>87</v>
      </c>
      <c r="D28" s="7" t="s">
        <v>88</v>
      </c>
      <c r="E28" s="6" t="str">
        <f>"0,6471"</f>
        <v>0,6471</v>
      </c>
      <c r="F28" s="8" t="s">
        <v>16</v>
      </c>
      <c r="G28" s="8" t="s">
        <v>593</v>
      </c>
      <c r="H28" s="62" t="s">
        <v>30</v>
      </c>
      <c r="I28" s="62" t="s">
        <v>89</v>
      </c>
      <c r="J28" s="62" t="s">
        <v>51</v>
      </c>
      <c r="K28" s="9"/>
      <c r="L28" s="59" t="s">
        <v>90</v>
      </c>
      <c r="M28" s="6" t="str">
        <f>"84,1230"</f>
        <v>84,1230</v>
      </c>
      <c r="N28" s="8" t="s">
        <v>91</v>
      </c>
    </row>
    <row r="29" spans="1:14" ht="12.75">
      <c r="A29" s="59" t="s">
        <v>562</v>
      </c>
      <c r="B29" s="52" t="s">
        <v>92</v>
      </c>
      <c r="C29" s="6" t="s">
        <v>93</v>
      </c>
      <c r="D29" s="7" t="s">
        <v>94</v>
      </c>
      <c r="E29" s="6" t="str">
        <f>"0,6417"</f>
        <v>0,6417</v>
      </c>
      <c r="F29" s="8" t="s">
        <v>95</v>
      </c>
      <c r="G29" s="8" t="s">
        <v>17</v>
      </c>
      <c r="H29" s="62" t="s">
        <v>96</v>
      </c>
      <c r="I29" s="62" t="s">
        <v>53</v>
      </c>
      <c r="J29" s="66" t="s">
        <v>66</v>
      </c>
      <c r="K29" s="9"/>
      <c r="L29" s="59" t="s">
        <v>54</v>
      </c>
      <c r="M29" s="6" t="str">
        <f>"91,4423"</f>
        <v>91,4423</v>
      </c>
      <c r="N29" s="8" t="s">
        <v>97</v>
      </c>
    </row>
    <row r="30" spans="1:14" ht="12.75">
      <c r="A30" s="59" t="s">
        <v>570</v>
      </c>
      <c r="B30" s="52" t="s">
        <v>98</v>
      </c>
      <c r="C30" s="6" t="s">
        <v>99</v>
      </c>
      <c r="D30" s="7" t="s">
        <v>100</v>
      </c>
      <c r="E30" s="6" t="str">
        <f>"0,6479"</f>
        <v>0,6479</v>
      </c>
      <c r="F30" s="8" t="s">
        <v>16</v>
      </c>
      <c r="G30" s="8" t="s">
        <v>101</v>
      </c>
      <c r="H30" s="62" t="s">
        <v>102</v>
      </c>
      <c r="I30" s="62" t="s">
        <v>103</v>
      </c>
      <c r="J30" s="9"/>
      <c r="K30" s="9"/>
      <c r="L30" s="59" t="s">
        <v>104</v>
      </c>
      <c r="M30" s="6" t="str">
        <f>"71,2690"</f>
        <v>71,2690</v>
      </c>
      <c r="N30" s="8" t="s">
        <v>40</v>
      </c>
    </row>
    <row r="31" spans="1:14" ht="12.75">
      <c r="A31" s="59" t="s">
        <v>562</v>
      </c>
      <c r="B31" s="52" t="s">
        <v>105</v>
      </c>
      <c r="C31" s="6" t="s">
        <v>106</v>
      </c>
      <c r="D31" s="7" t="s">
        <v>107</v>
      </c>
      <c r="E31" s="6" t="str">
        <f>"0,6459"</f>
        <v>0,6459</v>
      </c>
      <c r="F31" s="8" t="s">
        <v>16</v>
      </c>
      <c r="G31" s="8" t="s">
        <v>594</v>
      </c>
      <c r="H31" s="62" t="s">
        <v>108</v>
      </c>
      <c r="I31" s="62" t="s">
        <v>109</v>
      </c>
      <c r="J31" s="9"/>
      <c r="K31" s="9"/>
      <c r="L31" s="59" t="s">
        <v>110</v>
      </c>
      <c r="M31" s="6" t="str">
        <f>"117,8897"</f>
        <v>117,8897</v>
      </c>
      <c r="N31" s="8" t="s">
        <v>40</v>
      </c>
    </row>
    <row r="32" spans="1:14" ht="12.75">
      <c r="A32" s="61" t="s">
        <v>562</v>
      </c>
      <c r="B32" s="54" t="s">
        <v>111</v>
      </c>
      <c r="C32" s="14" t="s">
        <v>112</v>
      </c>
      <c r="D32" s="15" t="s">
        <v>113</v>
      </c>
      <c r="E32" s="14" t="str">
        <f>"0,6413"</f>
        <v>0,6413</v>
      </c>
      <c r="F32" s="16" t="s">
        <v>114</v>
      </c>
      <c r="G32" s="16" t="s">
        <v>17</v>
      </c>
      <c r="H32" s="65" t="s">
        <v>58</v>
      </c>
      <c r="I32" s="67" t="s">
        <v>108</v>
      </c>
      <c r="J32" s="17"/>
      <c r="K32" s="17"/>
      <c r="L32" s="61" t="s">
        <v>60</v>
      </c>
      <c r="M32" s="14" t="str">
        <f>"108,9440"</f>
        <v>108,9440</v>
      </c>
      <c r="N32" s="16" t="s">
        <v>40</v>
      </c>
    </row>
    <row r="34" spans="1:13" ht="15.75">
      <c r="A34" s="1"/>
      <c r="B34" s="194" t="s">
        <v>115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</row>
    <row r="35" spans="1:14" ht="12.75">
      <c r="A35" s="59" t="s">
        <v>562</v>
      </c>
      <c r="B35" s="52" t="s">
        <v>116</v>
      </c>
      <c r="C35" s="6" t="s">
        <v>117</v>
      </c>
      <c r="D35" s="7" t="s">
        <v>118</v>
      </c>
      <c r="E35" s="6" t="str">
        <f>"0,6123"</f>
        <v>0,6123</v>
      </c>
      <c r="F35" s="8" t="s">
        <v>16</v>
      </c>
      <c r="G35" s="8" t="s">
        <v>17</v>
      </c>
      <c r="H35" s="62" t="s">
        <v>119</v>
      </c>
      <c r="I35" s="62" t="s">
        <v>120</v>
      </c>
      <c r="J35" s="66" t="s">
        <v>121</v>
      </c>
      <c r="K35" s="9"/>
      <c r="L35" s="59" t="s">
        <v>122</v>
      </c>
      <c r="M35" s="6" t="str">
        <f>"125,5215"</f>
        <v>125,5215</v>
      </c>
      <c r="N35" s="8" t="s">
        <v>61</v>
      </c>
    </row>
    <row r="36" spans="1:14" ht="12.75">
      <c r="A36" s="59" t="s">
        <v>562</v>
      </c>
      <c r="B36" s="52" t="s">
        <v>584</v>
      </c>
      <c r="C36" s="6" t="s">
        <v>123</v>
      </c>
      <c r="D36" s="7" t="s">
        <v>124</v>
      </c>
      <c r="E36" s="6" t="str">
        <f>"0,6203"</f>
        <v>0,6203</v>
      </c>
      <c r="F36" s="8" t="s">
        <v>16</v>
      </c>
      <c r="G36" s="8" t="s">
        <v>17</v>
      </c>
      <c r="H36" s="66" t="s">
        <v>108</v>
      </c>
      <c r="I36" s="66" t="s">
        <v>125</v>
      </c>
      <c r="J36" s="62" t="s">
        <v>125</v>
      </c>
      <c r="K36" s="9"/>
      <c r="L36" s="59" t="s">
        <v>126</v>
      </c>
      <c r="M36" s="6" t="str">
        <f>"105,4510"</f>
        <v>105,4510</v>
      </c>
      <c r="N36" s="8" t="s">
        <v>40</v>
      </c>
    </row>
    <row r="37" spans="1:14" ht="12.75">
      <c r="A37" s="59" t="s">
        <v>570</v>
      </c>
      <c r="B37" s="52" t="s">
        <v>127</v>
      </c>
      <c r="C37" s="6" t="s">
        <v>128</v>
      </c>
      <c r="D37" s="7" t="s">
        <v>129</v>
      </c>
      <c r="E37" s="6" t="str">
        <f>"0,6086"</f>
        <v>0,6086</v>
      </c>
      <c r="F37" s="8" t="s">
        <v>16</v>
      </c>
      <c r="G37" s="8" t="s">
        <v>593</v>
      </c>
      <c r="H37" s="62" t="s">
        <v>108</v>
      </c>
      <c r="I37" s="66" t="s">
        <v>130</v>
      </c>
      <c r="J37" s="66" t="s">
        <v>130</v>
      </c>
      <c r="K37" s="9"/>
      <c r="L37" s="59" t="s">
        <v>131</v>
      </c>
      <c r="M37" s="6" t="str">
        <f>"100,4190"</f>
        <v>100,4190</v>
      </c>
      <c r="N37" s="8" t="s">
        <v>596</v>
      </c>
    </row>
    <row r="38" spans="1:14" ht="12.75">
      <c r="A38" s="59" t="s">
        <v>562</v>
      </c>
      <c r="B38" s="52" t="s">
        <v>283</v>
      </c>
      <c r="C38" s="6" t="s">
        <v>132</v>
      </c>
      <c r="D38" s="7" t="s">
        <v>133</v>
      </c>
      <c r="E38" s="6" t="str">
        <f>"0,6088"</f>
        <v>0,6088</v>
      </c>
      <c r="F38" s="8" t="s">
        <v>134</v>
      </c>
      <c r="G38" s="8" t="s">
        <v>135</v>
      </c>
      <c r="H38" s="62" t="s">
        <v>136</v>
      </c>
      <c r="I38" s="62" t="s">
        <v>137</v>
      </c>
      <c r="J38" s="62" t="s">
        <v>72</v>
      </c>
      <c r="K38" s="9"/>
      <c r="L38" s="59" t="s">
        <v>73</v>
      </c>
      <c r="M38" s="6" t="str">
        <f>"165,5632"</f>
        <v>165,5632</v>
      </c>
      <c r="N38" s="8" t="s">
        <v>40</v>
      </c>
    </row>
    <row r="40" spans="1:13" ht="15.75">
      <c r="A40" s="1"/>
      <c r="B40" s="194" t="s">
        <v>138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</row>
    <row r="41" spans="1:14" ht="12.75">
      <c r="A41" s="59" t="s">
        <v>562</v>
      </c>
      <c r="B41" s="52" t="s">
        <v>139</v>
      </c>
      <c r="C41" s="6" t="s">
        <v>140</v>
      </c>
      <c r="D41" s="7" t="s">
        <v>141</v>
      </c>
      <c r="E41" s="6" t="str">
        <f>"0,5909"</f>
        <v>0,5909</v>
      </c>
      <c r="F41" s="8" t="s">
        <v>16</v>
      </c>
      <c r="G41" s="8" t="s">
        <v>142</v>
      </c>
      <c r="H41" s="62" t="s">
        <v>143</v>
      </c>
      <c r="I41" s="62" t="s">
        <v>144</v>
      </c>
      <c r="J41" s="62" t="s">
        <v>145</v>
      </c>
      <c r="K41" s="9"/>
      <c r="L41" s="59" t="s">
        <v>146</v>
      </c>
      <c r="M41" s="6" t="str">
        <f>"138,8615"</f>
        <v>138,8615</v>
      </c>
      <c r="N41" s="8" t="s">
        <v>671</v>
      </c>
    </row>
    <row r="42" spans="1:14" ht="12.75">
      <c r="A42" s="59" t="s">
        <v>570</v>
      </c>
      <c r="B42" s="52" t="s">
        <v>585</v>
      </c>
      <c r="C42" s="6" t="s">
        <v>147</v>
      </c>
      <c r="D42" s="7" t="s">
        <v>148</v>
      </c>
      <c r="E42" s="6" t="str">
        <f>"0,5935"</f>
        <v>0,5935</v>
      </c>
      <c r="F42" s="8" t="s">
        <v>16</v>
      </c>
      <c r="G42" s="8" t="s">
        <v>598</v>
      </c>
      <c r="H42" s="62" t="s">
        <v>109</v>
      </c>
      <c r="I42" s="62" t="s">
        <v>72</v>
      </c>
      <c r="J42" s="62" t="s">
        <v>149</v>
      </c>
      <c r="K42" s="9"/>
      <c r="L42" s="59" t="s">
        <v>150</v>
      </c>
      <c r="M42" s="6" t="str">
        <f>"114,2488"</f>
        <v>114,2488</v>
      </c>
      <c r="N42" s="8" t="s">
        <v>40</v>
      </c>
    </row>
    <row r="43" spans="1:14" ht="12.75">
      <c r="A43" s="59" t="s">
        <v>572</v>
      </c>
      <c r="B43" s="52" t="s">
        <v>586</v>
      </c>
      <c r="C43" s="6" t="s">
        <v>152</v>
      </c>
      <c r="D43" s="7" t="s">
        <v>148</v>
      </c>
      <c r="E43" s="6" t="str">
        <f>"0,5935"</f>
        <v>0,5935</v>
      </c>
      <c r="F43" s="8" t="s">
        <v>16</v>
      </c>
      <c r="G43" s="8" t="s">
        <v>17</v>
      </c>
      <c r="H43" s="62" t="s">
        <v>153</v>
      </c>
      <c r="I43" s="62" t="s">
        <v>130</v>
      </c>
      <c r="J43" s="71"/>
      <c r="K43" s="9"/>
      <c r="L43" s="59" t="s">
        <v>154</v>
      </c>
      <c r="M43" s="6" t="str">
        <f>"102,3788"</f>
        <v>102,3788</v>
      </c>
      <c r="N43" s="8" t="s">
        <v>40</v>
      </c>
    </row>
    <row r="44" spans="1:14" ht="12.75">
      <c r="A44" s="59"/>
      <c r="B44" s="52" t="s">
        <v>155</v>
      </c>
      <c r="C44" s="6" t="s">
        <v>156</v>
      </c>
      <c r="D44" s="7" t="s">
        <v>157</v>
      </c>
      <c r="E44" s="6" t="str">
        <f>"0,6076"</f>
        <v>0,6076</v>
      </c>
      <c r="F44" s="8" t="s">
        <v>16</v>
      </c>
      <c r="G44" s="8" t="s">
        <v>142</v>
      </c>
      <c r="H44" s="66" t="s">
        <v>119</v>
      </c>
      <c r="I44" s="66"/>
      <c r="J44" s="66"/>
      <c r="K44" s="9"/>
      <c r="L44" s="59" t="s">
        <v>571</v>
      </c>
      <c r="M44" s="6" t="str">
        <f>"0,0000"</f>
        <v>0,0000</v>
      </c>
      <c r="N44" s="8" t="s">
        <v>40</v>
      </c>
    </row>
    <row r="45" spans="1:14" ht="12.75">
      <c r="A45" s="59"/>
      <c r="B45" s="52" t="s">
        <v>155</v>
      </c>
      <c r="C45" s="6" t="s">
        <v>158</v>
      </c>
      <c r="D45" s="7" t="s">
        <v>157</v>
      </c>
      <c r="E45" s="6" t="str">
        <f>"0,6076"</f>
        <v>0,6076</v>
      </c>
      <c r="F45" s="8" t="s">
        <v>16</v>
      </c>
      <c r="G45" s="8" t="s">
        <v>142</v>
      </c>
      <c r="H45" s="66" t="s">
        <v>119</v>
      </c>
      <c r="I45" s="66" t="s">
        <v>119</v>
      </c>
      <c r="J45" s="66" t="s">
        <v>119</v>
      </c>
      <c r="K45" s="9"/>
      <c r="L45" s="59" t="s">
        <v>571</v>
      </c>
      <c r="M45" s="6" t="str">
        <f>"0,0000"</f>
        <v>0,0000</v>
      </c>
      <c r="N45" s="8" t="s">
        <v>40</v>
      </c>
    </row>
    <row r="46" spans="1:14" ht="12.75">
      <c r="A46" s="59" t="s">
        <v>562</v>
      </c>
      <c r="B46" s="52" t="s">
        <v>588</v>
      </c>
      <c r="C46" s="6" t="s">
        <v>159</v>
      </c>
      <c r="D46" s="7" t="s">
        <v>141</v>
      </c>
      <c r="E46" s="6" t="str">
        <f>"0,5909"</f>
        <v>0,5909</v>
      </c>
      <c r="F46" s="8" t="s">
        <v>16</v>
      </c>
      <c r="G46" s="8" t="s">
        <v>142</v>
      </c>
      <c r="H46" s="62" t="s">
        <v>143</v>
      </c>
      <c r="I46" s="62" t="s">
        <v>144</v>
      </c>
      <c r="J46" s="62" t="s">
        <v>145</v>
      </c>
      <c r="K46" s="9"/>
      <c r="L46" s="59" t="s">
        <v>146</v>
      </c>
      <c r="M46" s="6" t="str">
        <f>"157,1912"</f>
        <v>157,1912</v>
      </c>
      <c r="N46" s="8" t="s">
        <v>671</v>
      </c>
    </row>
    <row r="47" spans="1:14" ht="12.75">
      <c r="A47" s="59" t="s">
        <v>562</v>
      </c>
      <c r="B47" s="52" t="s">
        <v>587</v>
      </c>
      <c r="C47" s="6" t="s">
        <v>160</v>
      </c>
      <c r="D47" s="7" t="s">
        <v>161</v>
      </c>
      <c r="E47" s="6" t="str">
        <f>"0,5964"</f>
        <v>0,5964</v>
      </c>
      <c r="F47" s="8" t="s">
        <v>16</v>
      </c>
      <c r="G47" s="8" t="s">
        <v>71</v>
      </c>
      <c r="H47" s="62" t="s">
        <v>58</v>
      </c>
      <c r="I47" s="62" t="s">
        <v>108</v>
      </c>
      <c r="J47" s="62" t="s">
        <v>136</v>
      </c>
      <c r="K47" s="9"/>
      <c r="L47" s="59" t="s">
        <v>162</v>
      </c>
      <c r="M47" s="6" t="str">
        <f>"130,4625"</f>
        <v>130,4625</v>
      </c>
      <c r="N47" s="8" t="s">
        <v>40</v>
      </c>
    </row>
    <row r="49" spans="1:13" ht="15.75">
      <c r="A49" s="1"/>
      <c r="B49" s="194" t="s">
        <v>163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</row>
    <row r="50" spans="1:14" ht="12.75">
      <c r="A50" s="59" t="s">
        <v>562</v>
      </c>
      <c r="B50" s="52" t="s">
        <v>164</v>
      </c>
      <c r="C50" s="6" t="s">
        <v>165</v>
      </c>
      <c r="D50" s="7" t="s">
        <v>166</v>
      </c>
      <c r="E50" s="6" t="str">
        <f>"0,5840"</f>
        <v>0,5840</v>
      </c>
      <c r="F50" s="8" t="s">
        <v>16</v>
      </c>
      <c r="G50" s="8" t="s">
        <v>17</v>
      </c>
      <c r="H50" s="62" t="s">
        <v>167</v>
      </c>
      <c r="I50" s="62" t="s">
        <v>143</v>
      </c>
      <c r="J50" s="66" t="s">
        <v>168</v>
      </c>
      <c r="K50" s="9"/>
      <c r="L50" s="59" t="s">
        <v>169</v>
      </c>
      <c r="M50" s="6" t="str">
        <f>"128,4800"</f>
        <v>128,4800</v>
      </c>
      <c r="N50" s="8" t="s">
        <v>170</v>
      </c>
    </row>
    <row r="51" spans="1:14" ht="12.75">
      <c r="A51" s="59" t="s">
        <v>562</v>
      </c>
      <c r="B51" s="52" t="s">
        <v>171</v>
      </c>
      <c r="C51" s="6" t="s">
        <v>172</v>
      </c>
      <c r="D51" s="7" t="s">
        <v>173</v>
      </c>
      <c r="E51" s="6" t="str">
        <f>"0,5817"</f>
        <v>0,5817</v>
      </c>
      <c r="F51" s="8" t="s">
        <v>16</v>
      </c>
      <c r="G51" s="8" t="s">
        <v>71</v>
      </c>
      <c r="H51" s="62" t="s">
        <v>174</v>
      </c>
      <c r="I51" s="62" t="s">
        <v>175</v>
      </c>
      <c r="J51" s="66" t="s">
        <v>120</v>
      </c>
      <c r="K51" s="9"/>
      <c r="L51" s="59" t="s">
        <v>176</v>
      </c>
      <c r="M51" s="6" t="str">
        <f>"116,3400"</f>
        <v>116,3400</v>
      </c>
      <c r="N51" s="8" t="s">
        <v>177</v>
      </c>
    </row>
    <row r="53" spans="1:13" ht="15.75">
      <c r="A53" s="1"/>
      <c r="B53" s="194" t="s">
        <v>178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</row>
    <row r="54" spans="1:14" ht="12.75">
      <c r="A54" s="59" t="s">
        <v>562</v>
      </c>
      <c r="B54" s="52" t="s">
        <v>179</v>
      </c>
      <c r="C54" s="6" t="s">
        <v>180</v>
      </c>
      <c r="D54" s="7" t="s">
        <v>181</v>
      </c>
      <c r="E54" s="6" t="str">
        <f>"0,5534"</f>
        <v>0,5534</v>
      </c>
      <c r="F54" s="8" t="s">
        <v>16</v>
      </c>
      <c r="G54" s="8" t="s">
        <v>593</v>
      </c>
      <c r="H54" s="62" t="s">
        <v>119</v>
      </c>
      <c r="I54" s="66" t="s">
        <v>120</v>
      </c>
      <c r="J54" s="66" t="s">
        <v>121</v>
      </c>
      <c r="K54" s="9"/>
      <c r="L54" s="59" t="s">
        <v>182</v>
      </c>
      <c r="M54" s="6" t="str">
        <f>"107,9130"</f>
        <v>107,9130</v>
      </c>
      <c r="N54" s="8" t="s">
        <v>40</v>
      </c>
    </row>
    <row r="55" spans="8:11" ht="12.75">
      <c r="H55" s="73"/>
      <c r="I55" s="74"/>
      <c r="J55" s="74"/>
      <c r="K55" s="75"/>
    </row>
    <row r="57" spans="2:3" ht="18">
      <c r="B57" s="18" t="s">
        <v>183</v>
      </c>
      <c r="C57" s="19"/>
    </row>
    <row r="59" spans="2:3" ht="15.75">
      <c r="B59" s="56" t="s">
        <v>195</v>
      </c>
      <c r="C59" s="20"/>
    </row>
    <row r="60" spans="2:3" ht="13.5">
      <c r="B60" s="72" t="s">
        <v>185</v>
      </c>
      <c r="C60" s="21"/>
    </row>
    <row r="61" spans="2:6" ht="13.5">
      <c r="B61" s="57" t="s">
        <v>186</v>
      </c>
      <c r="C61" s="22" t="s">
        <v>187</v>
      </c>
      <c r="D61" s="23" t="s">
        <v>188</v>
      </c>
      <c r="E61" s="22" t="s">
        <v>189</v>
      </c>
      <c r="F61" s="22" t="s">
        <v>190</v>
      </c>
    </row>
    <row r="62" spans="2:6" ht="12.75">
      <c r="B62" s="58" t="s">
        <v>164</v>
      </c>
      <c r="C62" s="1" t="s">
        <v>191</v>
      </c>
      <c r="D62" s="5" t="s">
        <v>196</v>
      </c>
      <c r="E62" s="1" t="s">
        <v>143</v>
      </c>
      <c r="F62" s="39" t="s">
        <v>197</v>
      </c>
    </row>
    <row r="63" spans="2:6" ht="12.75">
      <c r="B63" s="58" t="s">
        <v>116</v>
      </c>
      <c r="C63" s="1" t="s">
        <v>191</v>
      </c>
      <c r="D63" s="5" t="s">
        <v>198</v>
      </c>
      <c r="E63" s="1" t="s">
        <v>120</v>
      </c>
      <c r="F63" s="39" t="s">
        <v>199</v>
      </c>
    </row>
    <row r="64" spans="2:6" ht="12.75">
      <c r="B64" s="58" t="s">
        <v>55</v>
      </c>
      <c r="C64" s="1" t="s">
        <v>191</v>
      </c>
      <c r="D64" s="5" t="s">
        <v>193</v>
      </c>
      <c r="E64" s="1" t="s">
        <v>58</v>
      </c>
      <c r="F64" s="39" t="s">
        <v>200</v>
      </c>
    </row>
    <row r="66" spans="2:3" ht="13.5">
      <c r="B66" s="72" t="s">
        <v>192</v>
      </c>
      <c r="C66" s="21"/>
    </row>
    <row r="67" spans="2:6" ht="13.5">
      <c r="B67" s="57" t="s">
        <v>186</v>
      </c>
      <c r="C67" s="22" t="s">
        <v>187</v>
      </c>
      <c r="D67" s="23" t="s">
        <v>188</v>
      </c>
      <c r="E67" s="22" t="s">
        <v>189</v>
      </c>
      <c r="F67" s="22" t="s">
        <v>190</v>
      </c>
    </row>
    <row r="68" spans="2:6" ht="12.75">
      <c r="B68" s="58" t="s">
        <v>139</v>
      </c>
      <c r="C68" s="1" t="s">
        <v>192</v>
      </c>
      <c r="D68" s="5" t="s">
        <v>203</v>
      </c>
      <c r="E68" s="1" t="s">
        <v>145</v>
      </c>
      <c r="F68" s="39" t="s">
        <v>204</v>
      </c>
    </row>
    <row r="69" spans="2:6" ht="12.75">
      <c r="B69" s="58" t="s">
        <v>68</v>
      </c>
      <c r="C69" s="1" t="s">
        <v>192</v>
      </c>
      <c r="D69" s="5" t="s">
        <v>201</v>
      </c>
      <c r="E69" s="1" t="s">
        <v>72</v>
      </c>
      <c r="F69" s="39" t="s">
        <v>205</v>
      </c>
    </row>
    <row r="70" spans="2:6" ht="12.75">
      <c r="B70" s="58" t="s">
        <v>171</v>
      </c>
      <c r="C70" s="1" t="s">
        <v>192</v>
      </c>
      <c r="D70" s="5" t="s">
        <v>196</v>
      </c>
      <c r="E70" s="1" t="s">
        <v>175</v>
      </c>
      <c r="F70" s="39" t="s">
        <v>206</v>
      </c>
    </row>
  </sheetData>
  <sheetProtection/>
  <mergeCells count="23">
    <mergeCell ref="B1:N2"/>
    <mergeCell ref="H3:K3"/>
    <mergeCell ref="B3:B4"/>
    <mergeCell ref="C3:C4"/>
    <mergeCell ref="D3:D4"/>
    <mergeCell ref="B49:M49"/>
    <mergeCell ref="N3:N4"/>
    <mergeCell ref="G3:G4"/>
    <mergeCell ref="F3:F4"/>
    <mergeCell ref="B40:M40"/>
    <mergeCell ref="B53:M53"/>
    <mergeCell ref="B27:M27"/>
    <mergeCell ref="B34:M34"/>
    <mergeCell ref="L3:L4"/>
    <mergeCell ref="M3:M4"/>
    <mergeCell ref="A3:A4"/>
    <mergeCell ref="B5:M5"/>
    <mergeCell ref="B8:M8"/>
    <mergeCell ref="B11:M11"/>
    <mergeCell ref="B15:M15"/>
    <mergeCell ref="B21:M21"/>
    <mergeCell ref="E3:E4"/>
    <mergeCell ref="B18:M18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J15" sqref="J15"/>
    </sheetView>
  </sheetViews>
  <sheetFormatPr defaultColWidth="8.75390625" defaultRowHeight="12.75"/>
  <cols>
    <col min="1" max="1" width="7.625" style="37" customWidth="1"/>
    <col min="2" max="2" width="23.875" style="24" customWidth="1"/>
    <col min="3" max="3" width="21.375" style="24" bestFit="1" customWidth="1"/>
    <col min="4" max="4" width="12.25390625" style="24" bestFit="1" customWidth="1"/>
    <col min="5" max="5" width="8.375" style="24" bestFit="1" customWidth="1"/>
    <col min="6" max="6" width="22.75390625" style="24" bestFit="1" customWidth="1"/>
    <col min="7" max="7" width="17.25390625" style="24" customWidth="1"/>
    <col min="8" max="11" width="5.75390625" style="24" customWidth="1"/>
    <col min="12" max="12" width="12.25390625" style="37" customWidth="1"/>
    <col min="13" max="13" width="7.625" style="24" bestFit="1" customWidth="1"/>
    <col min="14" max="14" width="15.75390625" style="24" bestFit="1" customWidth="1"/>
  </cols>
  <sheetData>
    <row r="1" spans="1:14" s="1" customFormat="1" ht="15" customHeight="1">
      <c r="A1" s="39"/>
      <c r="B1" s="163" t="s">
        <v>560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s="1" customFormat="1" ht="76.5" customHeight="1" thickBot="1">
      <c r="A2" s="39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s="2" customFormat="1" ht="12.75" customHeight="1">
      <c r="A3" s="161" t="s">
        <v>561</v>
      </c>
      <c r="B3" s="165" t="s">
        <v>0</v>
      </c>
      <c r="C3" s="167" t="s">
        <v>9</v>
      </c>
      <c r="D3" s="167" t="s">
        <v>10</v>
      </c>
      <c r="E3" s="151" t="s">
        <v>11</v>
      </c>
      <c r="F3" s="151" t="s">
        <v>7</v>
      </c>
      <c r="G3" s="147" t="s">
        <v>583</v>
      </c>
      <c r="H3" s="151" t="s">
        <v>1</v>
      </c>
      <c r="I3" s="151"/>
      <c r="J3" s="151"/>
      <c r="K3" s="151"/>
      <c r="L3" s="151" t="s">
        <v>567</v>
      </c>
      <c r="M3" s="151" t="s">
        <v>6</v>
      </c>
      <c r="N3" s="169" t="s">
        <v>5</v>
      </c>
    </row>
    <row r="4" spans="1:14" s="2" customFormat="1" ht="35.25" customHeight="1" thickBot="1">
      <c r="A4" s="162"/>
      <c r="B4" s="166"/>
      <c r="C4" s="152"/>
      <c r="D4" s="168"/>
      <c r="E4" s="152"/>
      <c r="F4" s="152"/>
      <c r="G4" s="148"/>
      <c r="H4" s="3">
        <v>1</v>
      </c>
      <c r="I4" s="3">
        <v>2</v>
      </c>
      <c r="J4" s="3">
        <v>3</v>
      </c>
      <c r="K4" s="3" t="s">
        <v>8</v>
      </c>
      <c r="L4" s="152"/>
      <c r="M4" s="152"/>
      <c r="N4" s="170"/>
    </row>
    <row r="5" spans="1:13" ht="15.75">
      <c r="A5" s="40"/>
      <c r="B5" s="160" t="s">
        <v>85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4" ht="12.75">
      <c r="A6" s="36" t="s">
        <v>562</v>
      </c>
      <c r="B6" s="29" t="s">
        <v>98</v>
      </c>
      <c r="C6" s="29" t="s">
        <v>99</v>
      </c>
      <c r="D6" s="29" t="s">
        <v>100</v>
      </c>
      <c r="E6" s="29" t="str">
        <f>"0,6479"</f>
        <v>0,6479</v>
      </c>
      <c r="F6" s="29" t="s">
        <v>16</v>
      </c>
      <c r="G6" s="29" t="s">
        <v>101</v>
      </c>
      <c r="H6" s="38" t="s">
        <v>30</v>
      </c>
      <c r="I6" s="38" t="s">
        <v>51</v>
      </c>
      <c r="J6" s="30"/>
      <c r="K6" s="30"/>
      <c r="L6" s="36">
        <v>130</v>
      </c>
      <c r="M6" s="29" t="str">
        <f>"84,2270"</f>
        <v>84,2270</v>
      </c>
      <c r="N6" s="29" t="s">
        <v>40</v>
      </c>
    </row>
  </sheetData>
  <sheetProtection/>
  <mergeCells count="13">
    <mergeCell ref="L3:L4"/>
    <mergeCell ref="M3:M4"/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D1">
      <selection activeCell="G3" sqref="G3:G4"/>
    </sheetView>
  </sheetViews>
  <sheetFormatPr defaultColWidth="8.75390625" defaultRowHeight="12.75"/>
  <cols>
    <col min="1" max="1" width="7.625" style="37" bestFit="1" customWidth="1"/>
    <col min="2" max="2" width="24.875" style="24" customWidth="1"/>
    <col min="3" max="3" width="27.125" style="24" bestFit="1" customWidth="1"/>
    <col min="4" max="4" width="12.25390625" style="24" bestFit="1" customWidth="1"/>
    <col min="5" max="5" width="8.375" style="24" bestFit="1" customWidth="1"/>
    <col min="6" max="6" width="22.75390625" style="24" bestFit="1" customWidth="1"/>
    <col min="7" max="7" width="23.25390625" style="24" customWidth="1"/>
    <col min="8" max="10" width="5.625" style="24" bestFit="1" customWidth="1"/>
    <col min="11" max="11" width="4.625" style="24" bestFit="1" customWidth="1"/>
    <col min="12" max="12" width="12.375" style="37" customWidth="1"/>
    <col min="13" max="13" width="8.625" style="24" bestFit="1" customWidth="1"/>
    <col min="14" max="14" width="13.25390625" style="24" bestFit="1" customWidth="1"/>
  </cols>
  <sheetData>
    <row r="1" spans="1:14" s="1" customFormat="1" ht="15" customHeight="1">
      <c r="A1" s="39"/>
      <c r="B1" s="163" t="s">
        <v>563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s="1" customFormat="1" ht="79.5" customHeight="1" thickBot="1">
      <c r="A2" s="39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s="2" customFormat="1" ht="12.75" customHeight="1">
      <c r="A3" s="161" t="s">
        <v>561</v>
      </c>
      <c r="B3" s="165" t="s">
        <v>0</v>
      </c>
      <c r="C3" s="167" t="s">
        <v>9</v>
      </c>
      <c r="D3" s="167" t="s">
        <v>10</v>
      </c>
      <c r="E3" s="151" t="s">
        <v>11</v>
      </c>
      <c r="F3" s="151" t="s">
        <v>7</v>
      </c>
      <c r="G3" s="147" t="s">
        <v>583</v>
      </c>
      <c r="H3" s="151" t="s">
        <v>1</v>
      </c>
      <c r="I3" s="151"/>
      <c r="J3" s="151"/>
      <c r="K3" s="151"/>
      <c r="L3" s="151" t="s">
        <v>567</v>
      </c>
      <c r="M3" s="151" t="s">
        <v>6</v>
      </c>
      <c r="N3" s="169" t="s">
        <v>5</v>
      </c>
    </row>
    <row r="4" spans="1:14" s="2" customFormat="1" ht="35.25" customHeight="1" thickBot="1">
      <c r="A4" s="162"/>
      <c r="B4" s="166"/>
      <c r="C4" s="152"/>
      <c r="D4" s="168"/>
      <c r="E4" s="152"/>
      <c r="F4" s="152"/>
      <c r="G4" s="148"/>
      <c r="H4" s="3">
        <v>1</v>
      </c>
      <c r="I4" s="3">
        <v>2</v>
      </c>
      <c r="J4" s="3">
        <v>3</v>
      </c>
      <c r="K4" s="3" t="s">
        <v>8</v>
      </c>
      <c r="L4" s="152"/>
      <c r="M4" s="152"/>
      <c r="N4" s="170"/>
    </row>
    <row r="5" spans="1:13" ht="15.75">
      <c r="A5" s="40"/>
      <c r="B5" s="160" t="s">
        <v>62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4" ht="12.75">
      <c r="A6" s="36" t="s">
        <v>562</v>
      </c>
      <c r="B6" s="29" t="s">
        <v>678</v>
      </c>
      <c r="C6" s="29" t="s">
        <v>494</v>
      </c>
      <c r="D6" s="29" t="s">
        <v>495</v>
      </c>
      <c r="E6" s="29" t="str">
        <f>"0,7106"</f>
        <v>0,7106</v>
      </c>
      <c r="F6" s="29" t="s">
        <v>16</v>
      </c>
      <c r="G6" s="29" t="s">
        <v>652</v>
      </c>
      <c r="H6" s="38" t="s">
        <v>59</v>
      </c>
      <c r="I6" s="38" t="s">
        <v>125</v>
      </c>
      <c r="J6" s="38" t="s">
        <v>109</v>
      </c>
      <c r="K6" s="30"/>
      <c r="L6" s="36">
        <v>180</v>
      </c>
      <c r="M6" s="29" t="str">
        <f>"127,9080"</f>
        <v>127,9080</v>
      </c>
      <c r="N6" s="29" t="s">
        <v>496</v>
      </c>
    </row>
  </sheetData>
  <sheetProtection/>
  <mergeCells count="13">
    <mergeCell ref="L3:L4"/>
    <mergeCell ref="M3:M4"/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I41" sqref="I41"/>
    </sheetView>
  </sheetViews>
  <sheetFormatPr defaultColWidth="11.00390625" defaultRowHeight="12.75"/>
  <cols>
    <col min="1" max="1" width="6.75390625" style="0" customWidth="1"/>
    <col min="2" max="2" width="17.125" style="0" customWidth="1"/>
    <col min="3" max="3" width="21.875" style="0" customWidth="1"/>
    <col min="4" max="4" width="11.625" style="0" customWidth="1"/>
    <col min="6" max="6" width="24.375" style="0" customWidth="1"/>
    <col min="9" max="9" width="18.375" style="0" customWidth="1"/>
  </cols>
  <sheetData>
    <row r="1" spans="1:10" ht="48" customHeight="1">
      <c r="A1" s="142"/>
      <c r="B1" s="143" t="s">
        <v>860</v>
      </c>
      <c r="C1" s="143"/>
      <c r="D1" s="143"/>
      <c r="E1" s="143"/>
      <c r="F1" s="143"/>
      <c r="G1" s="143"/>
      <c r="H1" s="143"/>
      <c r="I1" s="143"/>
      <c r="J1" s="142"/>
    </row>
    <row r="2" spans="1:10" ht="28.5" hidden="1">
      <c r="A2" s="142"/>
      <c r="B2" s="143"/>
      <c r="C2" s="143"/>
      <c r="D2" s="143"/>
      <c r="E2" s="143"/>
      <c r="F2" s="143"/>
      <c r="G2" s="143"/>
      <c r="H2" s="143"/>
      <c r="I2" s="143"/>
      <c r="J2" s="142"/>
    </row>
    <row r="3" spans="1:10" ht="30" thickBot="1">
      <c r="A3" s="77"/>
      <c r="B3" s="144" t="s">
        <v>690</v>
      </c>
      <c r="C3" s="144"/>
      <c r="D3" s="144"/>
      <c r="E3" s="144"/>
      <c r="F3" s="144"/>
      <c r="G3" s="144"/>
      <c r="H3" s="144"/>
      <c r="I3" s="144"/>
      <c r="J3" s="77"/>
    </row>
    <row r="4" spans="1:10" ht="13.5">
      <c r="A4" s="145" t="s">
        <v>561</v>
      </c>
      <c r="B4" s="147" t="s">
        <v>0</v>
      </c>
      <c r="C4" s="82" t="s">
        <v>691</v>
      </c>
      <c r="D4" s="149" t="s">
        <v>10</v>
      </c>
      <c r="E4" s="147" t="s">
        <v>7</v>
      </c>
      <c r="F4" s="151" t="s">
        <v>583</v>
      </c>
      <c r="G4" s="147" t="s">
        <v>567</v>
      </c>
      <c r="H4" s="147" t="s">
        <v>6</v>
      </c>
      <c r="I4" s="153" t="s">
        <v>5</v>
      </c>
      <c r="J4" s="129"/>
    </row>
    <row r="5" spans="1:10" ht="15" thickBot="1">
      <c r="A5" s="146"/>
      <c r="B5" s="148"/>
      <c r="C5" s="83" t="s">
        <v>692</v>
      </c>
      <c r="D5" s="150"/>
      <c r="E5" s="148"/>
      <c r="F5" s="152"/>
      <c r="G5" s="148"/>
      <c r="H5" s="148"/>
      <c r="I5" s="154"/>
      <c r="J5" s="129"/>
    </row>
    <row r="6" spans="2:9" ht="15.75">
      <c r="B6" s="155" t="s">
        <v>861</v>
      </c>
      <c r="C6" s="155"/>
      <c r="D6" s="155"/>
      <c r="E6" s="155"/>
      <c r="F6" s="155"/>
      <c r="G6" s="155"/>
      <c r="H6" s="155"/>
      <c r="I6" s="24"/>
    </row>
    <row r="7" spans="1:9" ht="12.75">
      <c r="A7" s="36" t="s">
        <v>562</v>
      </c>
      <c r="B7" s="95" t="s">
        <v>862</v>
      </c>
      <c r="C7" s="95" t="s">
        <v>863</v>
      </c>
      <c r="D7" s="95" t="s">
        <v>864</v>
      </c>
      <c r="E7" s="95" t="s">
        <v>16</v>
      </c>
      <c r="F7" s="95" t="s">
        <v>865</v>
      </c>
      <c r="G7" s="93" t="s">
        <v>866</v>
      </c>
      <c r="H7" s="95" t="s">
        <v>867</v>
      </c>
      <c r="I7" s="95" t="s">
        <v>855</v>
      </c>
    </row>
    <row r="8" spans="1:9" ht="12.75">
      <c r="A8" s="37"/>
      <c r="B8" s="24"/>
      <c r="C8" s="24"/>
      <c r="D8" s="24"/>
      <c r="E8" s="24"/>
      <c r="F8" s="24"/>
      <c r="G8" s="37"/>
      <c r="H8" s="24"/>
      <c r="I8" s="24"/>
    </row>
    <row r="9" spans="2:9" ht="15.75">
      <c r="B9" s="155" t="s">
        <v>85</v>
      </c>
      <c r="C9" s="155"/>
      <c r="D9" s="155"/>
      <c r="E9" s="155"/>
      <c r="F9" s="155"/>
      <c r="G9" s="155"/>
      <c r="H9" s="155"/>
      <c r="I9" s="24"/>
    </row>
    <row r="10" spans="1:9" ht="12.75">
      <c r="A10" s="47" t="s">
        <v>562</v>
      </c>
      <c r="B10" s="100" t="s">
        <v>735</v>
      </c>
      <c r="C10" s="100" t="s">
        <v>868</v>
      </c>
      <c r="D10" s="100" t="s">
        <v>350</v>
      </c>
      <c r="E10" s="100" t="s">
        <v>16</v>
      </c>
      <c r="F10" s="100" t="s">
        <v>17</v>
      </c>
      <c r="G10" s="104" t="s">
        <v>869</v>
      </c>
      <c r="H10" s="100" t="s">
        <v>870</v>
      </c>
      <c r="I10" s="100" t="s">
        <v>40</v>
      </c>
    </row>
    <row r="11" spans="1:9" ht="12.75">
      <c r="A11" s="36" t="s">
        <v>570</v>
      </c>
      <c r="B11" s="95" t="s">
        <v>848</v>
      </c>
      <c r="C11" s="95" t="s">
        <v>849</v>
      </c>
      <c r="D11" s="95" t="s">
        <v>229</v>
      </c>
      <c r="E11" s="95" t="s">
        <v>16</v>
      </c>
      <c r="F11" s="95" t="s">
        <v>71</v>
      </c>
      <c r="G11" s="93" t="s">
        <v>729</v>
      </c>
      <c r="H11" s="95" t="s">
        <v>871</v>
      </c>
      <c r="I11" s="95" t="s">
        <v>40</v>
      </c>
    </row>
    <row r="12" spans="1:9" ht="12.75">
      <c r="A12" s="117" t="s">
        <v>562</v>
      </c>
      <c r="B12" s="130" t="s">
        <v>405</v>
      </c>
      <c r="C12" s="130" t="s">
        <v>406</v>
      </c>
      <c r="D12" s="130" t="s">
        <v>296</v>
      </c>
      <c r="E12" s="130" t="s">
        <v>16</v>
      </c>
      <c r="F12" s="130" t="s">
        <v>17</v>
      </c>
      <c r="G12" s="121" t="s">
        <v>872</v>
      </c>
      <c r="H12" s="130" t="s">
        <v>873</v>
      </c>
      <c r="I12" s="130" t="s">
        <v>287</v>
      </c>
    </row>
    <row r="13" spans="1:9" ht="12.75">
      <c r="A13" s="36" t="s">
        <v>570</v>
      </c>
      <c r="B13" s="95" t="s">
        <v>874</v>
      </c>
      <c r="C13" s="95" t="s">
        <v>739</v>
      </c>
      <c r="D13" s="95" t="s">
        <v>740</v>
      </c>
      <c r="E13" s="95" t="s">
        <v>16</v>
      </c>
      <c r="F13" s="95" t="s">
        <v>17</v>
      </c>
      <c r="G13" s="93" t="s">
        <v>866</v>
      </c>
      <c r="H13" s="95" t="s">
        <v>875</v>
      </c>
      <c r="I13" s="95" t="s">
        <v>40</v>
      </c>
    </row>
    <row r="14" spans="1:9" ht="12.75">
      <c r="A14" s="117" t="s">
        <v>572</v>
      </c>
      <c r="B14" s="130" t="s">
        <v>876</v>
      </c>
      <c r="C14" s="130" t="s">
        <v>877</v>
      </c>
      <c r="D14" s="130" t="s">
        <v>878</v>
      </c>
      <c r="E14" s="130" t="s">
        <v>16</v>
      </c>
      <c r="F14" s="130" t="s">
        <v>17</v>
      </c>
      <c r="G14" s="121" t="s">
        <v>866</v>
      </c>
      <c r="H14" s="130" t="s">
        <v>879</v>
      </c>
      <c r="I14" s="130" t="s">
        <v>40</v>
      </c>
    </row>
    <row r="15" spans="1:9" ht="12.75">
      <c r="A15" s="36" t="s">
        <v>599</v>
      </c>
      <c r="B15" s="95" t="s">
        <v>851</v>
      </c>
      <c r="C15" s="95" t="s">
        <v>852</v>
      </c>
      <c r="D15" s="95" t="s">
        <v>853</v>
      </c>
      <c r="E15" s="95" t="s">
        <v>16</v>
      </c>
      <c r="F15" s="95" t="s">
        <v>17</v>
      </c>
      <c r="G15" s="93" t="s">
        <v>869</v>
      </c>
      <c r="H15" s="95" t="s">
        <v>880</v>
      </c>
      <c r="I15" s="95" t="s">
        <v>855</v>
      </c>
    </row>
    <row r="16" spans="1:9" ht="12.75">
      <c r="A16" s="117" t="s">
        <v>600</v>
      </c>
      <c r="B16" s="130" t="s">
        <v>881</v>
      </c>
      <c r="C16" s="130" t="s">
        <v>882</v>
      </c>
      <c r="D16" s="130" t="s">
        <v>883</v>
      </c>
      <c r="E16" s="130" t="s">
        <v>16</v>
      </c>
      <c r="F16" s="130" t="s">
        <v>884</v>
      </c>
      <c r="G16" s="121" t="s">
        <v>742</v>
      </c>
      <c r="H16" s="130" t="s">
        <v>885</v>
      </c>
      <c r="I16" s="130" t="s">
        <v>886</v>
      </c>
    </row>
    <row r="17" spans="1:9" ht="12.75">
      <c r="A17" s="36" t="s">
        <v>601</v>
      </c>
      <c r="B17" s="95" t="s">
        <v>856</v>
      </c>
      <c r="C17" s="95" t="s">
        <v>857</v>
      </c>
      <c r="D17" s="95" t="s">
        <v>858</v>
      </c>
      <c r="E17" s="95" t="s">
        <v>16</v>
      </c>
      <c r="F17" s="95" t="s">
        <v>17</v>
      </c>
      <c r="G17" s="93" t="s">
        <v>729</v>
      </c>
      <c r="H17" s="95" t="s">
        <v>887</v>
      </c>
      <c r="I17" s="95" t="s">
        <v>287</v>
      </c>
    </row>
    <row r="18" spans="1:9" ht="15.75">
      <c r="A18" s="37"/>
      <c r="B18" s="24"/>
      <c r="C18" s="24"/>
      <c r="D18" s="24"/>
      <c r="E18" s="122"/>
      <c r="F18" s="24"/>
      <c r="G18" s="37"/>
      <c r="H18" s="24"/>
      <c r="I18" s="24"/>
    </row>
    <row r="19" spans="1:9" ht="12.75">
      <c r="A19" s="37"/>
      <c r="B19" s="24"/>
      <c r="C19" s="24"/>
      <c r="D19" s="24"/>
      <c r="E19" s="24"/>
      <c r="F19" s="24"/>
      <c r="G19" s="37"/>
      <c r="H19" s="24"/>
      <c r="I19" s="24"/>
    </row>
    <row r="20" spans="1:9" ht="18">
      <c r="A20" s="37"/>
      <c r="B20" s="31" t="s">
        <v>183</v>
      </c>
      <c r="C20" s="31"/>
      <c r="D20" s="24"/>
      <c r="E20" s="24"/>
      <c r="F20" s="24"/>
      <c r="G20" s="37"/>
      <c r="H20" s="24"/>
      <c r="I20" s="24"/>
    </row>
    <row r="21" spans="1:9" ht="15.75">
      <c r="A21" s="37"/>
      <c r="B21" s="32" t="s">
        <v>195</v>
      </c>
      <c r="C21" s="32"/>
      <c r="D21" s="24"/>
      <c r="E21" s="24"/>
      <c r="F21" s="24"/>
      <c r="G21" s="37"/>
      <c r="H21" s="24"/>
      <c r="I21" s="24"/>
    </row>
    <row r="22" spans="1:9" ht="13.5">
      <c r="A22" s="37"/>
      <c r="B22" s="34" t="s">
        <v>192</v>
      </c>
      <c r="C22" s="34"/>
      <c r="D22" s="24"/>
      <c r="E22" s="24"/>
      <c r="F22" s="24"/>
      <c r="G22" s="37"/>
      <c r="H22" s="24"/>
      <c r="I22" s="24"/>
    </row>
    <row r="23" spans="1:9" ht="13.5">
      <c r="A23" s="37"/>
      <c r="B23" s="35" t="s">
        <v>186</v>
      </c>
      <c r="C23" s="127" t="s">
        <v>187</v>
      </c>
      <c r="D23" s="127" t="s">
        <v>188</v>
      </c>
      <c r="E23" s="127" t="s">
        <v>567</v>
      </c>
      <c r="F23" s="24"/>
      <c r="G23" s="37"/>
      <c r="H23" s="24"/>
      <c r="I23" s="24"/>
    </row>
    <row r="24" spans="1:9" ht="12.75">
      <c r="A24" s="37" t="s">
        <v>562</v>
      </c>
      <c r="B24" s="33" t="s">
        <v>405</v>
      </c>
      <c r="C24" s="77" t="s">
        <v>192</v>
      </c>
      <c r="D24" s="77" t="s">
        <v>202</v>
      </c>
      <c r="E24" s="37" t="s">
        <v>872</v>
      </c>
      <c r="F24" s="24"/>
      <c r="G24" s="37"/>
      <c r="H24" s="24"/>
      <c r="I24" s="24"/>
    </row>
    <row r="25" spans="1:9" ht="12.75">
      <c r="A25" s="37" t="s">
        <v>570</v>
      </c>
      <c r="B25" s="33" t="s">
        <v>862</v>
      </c>
      <c r="C25" s="77" t="s">
        <v>192</v>
      </c>
      <c r="D25" s="77" t="s">
        <v>888</v>
      </c>
      <c r="E25" s="37" t="s">
        <v>866</v>
      </c>
      <c r="F25" s="24"/>
      <c r="G25" s="37"/>
      <c r="H25" s="24"/>
      <c r="I25" s="24"/>
    </row>
    <row r="26" spans="1:9" ht="12.75">
      <c r="A26" s="37" t="s">
        <v>572</v>
      </c>
      <c r="B26" s="33" t="s">
        <v>874</v>
      </c>
      <c r="C26" s="77" t="s">
        <v>192</v>
      </c>
      <c r="D26" s="77" t="s">
        <v>202</v>
      </c>
      <c r="E26" s="37" t="s">
        <v>866</v>
      </c>
      <c r="F26" s="24"/>
      <c r="G26" s="37"/>
      <c r="H26" s="24"/>
      <c r="I26" s="24"/>
    </row>
    <row r="27" spans="1:8" ht="12.75">
      <c r="A27" s="37"/>
      <c r="B27" s="24"/>
      <c r="C27" s="24"/>
      <c r="D27" s="24"/>
      <c r="E27" s="24"/>
      <c r="F27" s="37"/>
      <c r="G27" s="24"/>
      <c r="H27" s="24"/>
    </row>
    <row r="28" spans="1:8" ht="12.75">
      <c r="A28" s="37"/>
      <c r="B28" s="24"/>
      <c r="C28" s="24"/>
      <c r="D28" s="24"/>
      <c r="E28" s="24"/>
      <c r="F28" s="37"/>
      <c r="G28" s="24"/>
      <c r="H28" s="24"/>
    </row>
    <row r="29" spans="1:9" ht="12.75">
      <c r="A29" s="37"/>
      <c r="B29" s="24"/>
      <c r="C29" s="24"/>
      <c r="D29" s="24"/>
      <c r="E29" s="24"/>
      <c r="F29" s="24"/>
      <c r="G29" s="37"/>
      <c r="H29" s="24"/>
      <c r="I29" s="24"/>
    </row>
    <row r="30" spans="1:9" ht="12.75">
      <c r="A30" s="37"/>
      <c r="B30" s="24"/>
      <c r="C30" s="24"/>
      <c r="D30" s="24"/>
      <c r="E30" s="24"/>
      <c r="F30" s="24"/>
      <c r="G30" s="37"/>
      <c r="H30" s="24"/>
      <c r="I30" s="24"/>
    </row>
    <row r="31" spans="1:9" ht="12.75">
      <c r="A31" s="37"/>
      <c r="B31" s="24"/>
      <c r="C31" s="24"/>
      <c r="D31" s="24"/>
      <c r="E31" s="24"/>
      <c r="F31" s="24"/>
      <c r="G31" s="37"/>
      <c r="H31" s="24"/>
      <c r="I31" s="24"/>
    </row>
    <row r="32" spans="1:9" ht="12.75">
      <c r="A32" s="37"/>
      <c r="B32" s="24"/>
      <c r="C32" s="24"/>
      <c r="D32" s="24"/>
      <c r="E32" s="24"/>
      <c r="F32" s="24"/>
      <c r="G32" s="37"/>
      <c r="H32" s="24"/>
      <c r="I32" s="24"/>
    </row>
    <row r="33" spans="1:9" ht="12.75">
      <c r="A33" s="37"/>
      <c r="B33" s="24"/>
      <c r="C33" s="24"/>
      <c r="D33" s="24"/>
      <c r="E33" s="24"/>
      <c r="F33" s="24"/>
      <c r="G33" s="37"/>
      <c r="H33" s="24"/>
      <c r="I33" s="24"/>
    </row>
    <row r="34" spans="1:9" ht="12.75">
      <c r="A34" s="37"/>
      <c r="B34" s="24"/>
      <c r="C34" s="24"/>
      <c r="D34" s="24"/>
      <c r="E34" s="24"/>
      <c r="F34" s="24"/>
      <c r="G34" s="37"/>
      <c r="H34" s="24"/>
      <c r="I34" s="24"/>
    </row>
    <row r="35" spans="1:9" ht="12.75">
      <c r="A35" s="37"/>
      <c r="B35" s="24"/>
      <c r="C35" s="24"/>
      <c r="D35" s="24"/>
      <c r="E35" s="24"/>
      <c r="F35" s="24"/>
      <c r="G35" s="37"/>
      <c r="H35" s="24"/>
      <c r="I35" s="24"/>
    </row>
    <row r="36" spans="1:9" ht="12.75">
      <c r="A36" s="37"/>
      <c r="B36" s="24"/>
      <c r="C36" s="24"/>
      <c r="D36" s="24"/>
      <c r="E36" s="24"/>
      <c r="F36" s="24"/>
      <c r="G36" s="37"/>
      <c r="H36" s="24"/>
      <c r="I36" s="24"/>
    </row>
    <row r="37" spans="1:9" ht="12.75">
      <c r="A37" s="37"/>
      <c r="B37" s="24"/>
      <c r="C37" s="24"/>
      <c r="D37" s="24"/>
      <c r="E37" s="24"/>
      <c r="F37" s="24"/>
      <c r="G37" s="37"/>
      <c r="H37" s="24"/>
      <c r="I37" s="24"/>
    </row>
    <row r="38" spans="1:9" ht="12.75">
      <c r="A38" s="37"/>
      <c r="B38" s="24"/>
      <c r="C38" s="24"/>
      <c r="D38" s="24"/>
      <c r="E38" s="24"/>
      <c r="F38" s="24"/>
      <c r="G38" s="37"/>
      <c r="H38" s="24"/>
      <c r="I38" s="24"/>
    </row>
    <row r="39" spans="1:9" ht="12.75">
      <c r="A39" s="37"/>
      <c r="B39" s="24"/>
      <c r="C39" s="24"/>
      <c r="D39" s="24"/>
      <c r="E39" s="24"/>
      <c r="F39" s="24"/>
      <c r="G39" s="37"/>
      <c r="H39" s="24"/>
      <c r="I39" s="24"/>
    </row>
  </sheetData>
  <sheetProtection/>
  <mergeCells count="15">
    <mergeCell ref="B6:H6"/>
    <mergeCell ref="B9:H9"/>
    <mergeCell ref="A1:A2"/>
    <mergeCell ref="B1:I1"/>
    <mergeCell ref="B2:I2"/>
    <mergeCell ref="B3:I3"/>
    <mergeCell ref="J1:J2"/>
    <mergeCell ref="A4:A5"/>
    <mergeCell ref="B4:B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F14" sqref="F14"/>
    </sheetView>
  </sheetViews>
  <sheetFormatPr defaultColWidth="8.75390625" defaultRowHeight="12.75"/>
  <cols>
    <col min="1" max="1" width="7.625" style="37" bestFit="1" customWidth="1"/>
    <col min="2" max="2" width="31.875" style="24" bestFit="1" customWidth="1"/>
    <col min="3" max="3" width="23.25390625" style="24" customWidth="1"/>
    <col min="4" max="4" width="12.25390625" style="24" bestFit="1" customWidth="1"/>
    <col min="5" max="5" width="6.625" style="24" bestFit="1" customWidth="1"/>
    <col min="6" max="6" width="22.75390625" style="24" bestFit="1" customWidth="1"/>
    <col min="7" max="7" width="22.625" style="24" customWidth="1"/>
    <col min="8" max="10" width="5.625" style="24" bestFit="1" customWidth="1"/>
    <col min="11" max="11" width="4.625" style="24" bestFit="1" customWidth="1"/>
    <col min="12" max="12" width="11.25390625" style="37" customWidth="1"/>
    <col min="13" max="13" width="6.625" style="24" bestFit="1" customWidth="1"/>
    <col min="14" max="14" width="18.00390625" style="24" bestFit="1" customWidth="1"/>
  </cols>
  <sheetData>
    <row r="1" spans="1:14" s="1" customFormat="1" ht="15" customHeight="1">
      <c r="A1" s="39"/>
      <c r="B1" s="163" t="s">
        <v>564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s="1" customFormat="1" ht="75" customHeight="1" thickBot="1">
      <c r="A2" s="39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s="2" customFormat="1" ht="12.75" customHeight="1">
      <c r="A3" s="161" t="s">
        <v>561</v>
      </c>
      <c r="B3" s="165" t="s">
        <v>0</v>
      </c>
      <c r="C3" s="167" t="s">
        <v>9</v>
      </c>
      <c r="D3" s="167" t="s">
        <v>10</v>
      </c>
      <c r="E3" s="151" t="s">
        <v>11</v>
      </c>
      <c r="F3" s="151" t="s">
        <v>7</v>
      </c>
      <c r="G3" s="151" t="s">
        <v>583</v>
      </c>
      <c r="H3" s="151" t="s">
        <v>1</v>
      </c>
      <c r="I3" s="151"/>
      <c r="J3" s="151"/>
      <c r="K3" s="151"/>
      <c r="L3" s="151" t="s">
        <v>567</v>
      </c>
      <c r="M3" s="151" t="s">
        <v>6</v>
      </c>
      <c r="N3" s="169" t="s">
        <v>5</v>
      </c>
    </row>
    <row r="4" spans="1:14" s="2" customFormat="1" ht="35.25" customHeight="1" thickBot="1">
      <c r="A4" s="162"/>
      <c r="B4" s="166"/>
      <c r="C4" s="152"/>
      <c r="D4" s="168"/>
      <c r="E4" s="152"/>
      <c r="F4" s="152"/>
      <c r="G4" s="152"/>
      <c r="H4" s="3">
        <v>1</v>
      </c>
      <c r="I4" s="3">
        <v>2</v>
      </c>
      <c r="J4" s="3">
        <v>3</v>
      </c>
      <c r="K4" s="3" t="s">
        <v>8</v>
      </c>
      <c r="L4" s="152"/>
      <c r="M4" s="152"/>
      <c r="N4" s="170"/>
    </row>
    <row r="5" spans="1:13" ht="15.75">
      <c r="A5" s="40"/>
      <c r="B5" s="160" t="s">
        <v>62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4" ht="12.75">
      <c r="A6" s="36"/>
      <c r="B6" s="29" t="s">
        <v>515</v>
      </c>
      <c r="C6" s="29" t="s">
        <v>516</v>
      </c>
      <c r="D6" s="29" t="s">
        <v>517</v>
      </c>
      <c r="E6" s="29" t="str">
        <f>"0,6704"</f>
        <v>0,6704</v>
      </c>
      <c r="F6" s="29" t="s">
        <v>16</v>
      </c>
      <c r="G6" s="29" t="s">
        <v>667</v>
      </c>
      <c r="H6" s="41" t="s">
        <v>175</v>
      </c>
      <c r="I6" s="41" t="s">
        <v>167</v>
      </c>
      <c r="J6" s="41" t="s">
        <v>143</v>
      </c>
      <c r="K6" s="30"/>
      <c r="L6" s="36">
        <v>0</v>
      </c>
      <c r="M6" s="29" t="str">
        <f>"0,0000"</f>
        <v>0,0000</v>
      </c>
      <c r="N6" s="29" t="s">
        <v>518</v>
      </c>
    </row>
  </sheetData>
  <sheetProtection/>
  <mergeCells count="13">
    <mergeCell ref="L3:L4"/>
    <mergeCell ref="M3:M4"/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G3" sqref="G3:G4"/>
    </sheetView>
  </sheetViews>
  <sheetFormatPr defaultColWidth="8.75390625" defaultRowHeight="12.75"/>
  <cols>
    <col min="1" max="1" width="6.125" style="37" customWidth="1"/>
    <col min="2" max="2" width="26.00390625" style="24" customWidth="1"/>
    <col min="3" max="3" width="21.375" style="24" bestFit="1" customWidth="1"/>
    <col min="4" max="4" width="12.25390625" style="24" bestFit="1" customWidth="1"/>
    <col min="5" max="5" width="8.375" style="24" bestFit="1" customWidth="1"/>
    <col min="6" max="6" width="22.75390625" style="24" bestFit="1" customWidth="1"/>
    <col min="7" max="7" width="30.625" style="24" bestFit="1" customWidth="1"/>
    <col min="8" max="10" width="5.625" style="24" bestFit="1" customWidth="1"/>
    <col min="11" max="11" width="4.625" style="24" bestFit="1" customWidth="1"/>
    <col min="12" max="14" width="5.625" style="24" bestFit="1" customWidth="1"/>
    <col min="15" max="15" width="4.625" style="24" bestFit="1" customWidth="1"/>
    <col min="16" max="16" width="7.875" style="37" bestFit="1" customWidth="1"/>
    <col min="17" max="17" width="8.625" style="24" bestFit="1" customWidth="1"/>
    <col min="18" max="18" width="20.375" style="24" customWidth="1"/>
  </cols>
  <sheetData>
    <row r="1" spans="1:18" s="1" customFormat="1" ht="15" customHeight="1">
      <c r="A1" s="39"/>
      <c r="B1" s="163" t="s">
        <v>565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18" s="1" customFormat="1" ht="75" customHeight="1" thickBot="1">
      <c r="A2" s="39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18" s="2" customFormat="1" ht="12.75" customHeight="1">
      <c r="A3" s="161" t="s">
        <v>561</v>
      </c>
      <c r="B3" s="165" t="s">
        <v>0</v>
      </c>
      <c r="C3" s="167" t="s">
        <v>9</v>
      </c>
      <c r="D3" s="167" t="s">
        <v>10</v>
      </c>
      <c r="E3" s="151" t="s">
        <v>11</v>
      </c>
      <c r="F3" s="151" t="s">
        <v>7</v>
      </c>
      <c r="G3" s="151" t="s">
        <v>583</v>
      </c>
      <c r="H3" s="151" t="s">
        <v>2</v>
      </c>
      <c r="I3" s="151"/>
      <c r="J3" s="151"/>
      <c r="K3" s="151"/>
      <c r="L3" s="151" t="s">
        <v>3</v>
      </c>
      <c r="M3" s="151"/>
      <c r="N3" s="151"/>
      <c r="O3" s="151"/>
      <c r="P3" s="151" t="s">
        <v>4</v>
      </c>
      <c r="Q3" s="151" t="s">
        <v>6</v>
      </c>
      <c r="R3" s="169" t="s">
        <v>5</v>
      </c>
    </row>
    <row r="4" spans="1:18" s="2" customFormat="1" ht="35.25" customHeight="1" thickBot="1">
      <c r="A4" s="162"/>
      <c r="B4" s="166"/>
      <c r="C4" s="152"/>
      <c r="D4" s="168"/>
      <c r="E4" s="152"/>
      <c r="F4" s="152"/>
      <c r="G4" s="152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52"/>
      <c r="Q4" s="152"/>
      <c r="R4" s="170"/>
    </row>
    <row r="5" spans="1:17" ht="15.75">
      <c r="A5" s="40"/>
      <c r="B5" s="160" t="s">
        <v>34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18" ht="12.75">
      <c r="A6" s="36" t="s">
        <v>562</v>
      </c>
      <c r="B6" s="29" t="s">
        <v>686</v>
      </c>
      <c r="C6" s="29" t="s">
        <v>487</v>
      </c>
      <c r="D6" s="29" t="s">
        <v>488</v>
      </c>
      <c r="E6" s="29" t="str">
        <f>"0,9919"</f>
        <v>0,9919</v>
      </c>
      <c r="F6" s="29" t="s">
        <v>379</v>
      </c>
      <c r="G6" s="29" t="s">
        <v>17</v>
      </c>
      <c r="H6" s="38" t="s">
        <v>20</v>
      </c>
      <c r="I6" s="38" t="s">
        <v>21</v>
      </c>
      <c r="J6" s="41" t="s">
        <v>225</v>
      </c>
      <c r="K6" s="30"/>
      <c r="L6" s="38" t="s">
        <v>248</v>
      </c>
      <c r="M6" s="38" t="s">
        <v>103</v>
      </c>
      <c r="N6" s="38" t="s">
        <v>29</v>
      </c>
      <c r="O6" s="30"/>
      <c r="P6" s="36">
        <v>165</v>
      </c>
      <c r="Q6" s="29" t="str">
        <f>"163,6635"</f>
        <v>163,6635</v>
      </c>
      <c r="R6" s="29" t="s">
        <v>688</v>
      </c>
    </row>
    <row r="8" spans="1:17" ht="15.75">
      <c r="A8" s="40"/>
      <c r="B8" s="171" t="s">
        <v>163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</row>
    <row r="9" spans="1:18" ht="12.75">
      <c r="A9" s="36" t="s">
        <v>562</v>
      </c>
      <c r="B9" s="29" t="s">
        <v>687</v>
      </c>
      <c r="C9" s="29" t="s">
        <v>556</v>
      </c>
      <c r="D9" s="29" t="s">
        <v>557</v>
      </c>
      <c r="E9" s="29" t="str">
        <f>"0,5751"</f>
        <v>0,5751</v>
      </c>
      <c r="F9" s="29" t="s">
        <v>16</v>
      </c>
      <c r="G9" s="29" t="s">
        <v>558</v>
      </c>
      <c r="H9" s="38" t="s">
        <v>109</v>
      </c>
      <c r="I9" s="41" t="s">
        <v>137</v>
      </c>
      <c r="J9" s="41" t="s">
        <v>137</v>
      </c>
      <c r="K9" s="30"/>
      <c r="L9" s="38" t="s">
        <v>143</v>
      </c>
      <c r="M9" s="38" t="s">
        <v>436</v>
      </c>
      <c r="N9" s="41" t="s">
        <v>391</v>
      </c>
      <c r="O9" s="30"/>
      <c r="P9" s="36">
        <v>412.5</v>
      </c>
      <c r="Q9" s="29" t="str">
        <f>"237,2288"</f>
        <v>237,2288</v>
      </c>
      <c r="R9" s="29" t="s">
        <v>559</v>
      </c>
    </row>
  </sheetData>
  <sheetProtection/>
  <mergeCells count="15">
    <mergeCell ref="L3:O3"/>
    <mergeCell ref="P3:P4"/>
    <mergeCell ref="Q3:Q4"/>
    <mergeCell ref="R3:R4"/>
    <mergeCell ref="B5:Q5"/>
    <mergeCell ref="B8:Q8"/>
    <mergeCell ref="A3:A4"/>
    <mergeCell ref="B1:R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G3" sqref="G3:G4"/>
    </sheetView>
  </sheetViews>
  <sheetFormatPr defaultColWidth="8.75390625" defaultRowHeight="12.75"/>
  <cols>
    <col min="1" max="1" width="8.375" style="37" bestFit="1" customWidth="1"/>
    <col min="2" max="2" width="31.875" style="24" bestFit="1" customWidth="1"/>
    <col min="3" max="3" width="26.875" style="24" bestFit="1" customWidth="1"/>
    <col min="4" max="4" width="12.25390625" style="24" bestFit="1" customWidth="1"/>
    <col min="5" max="5" width="6.625" style="24" bestFit="1" customWidth="1"/>
    <col min="6" max="6" width="22.75390625" style="24" bestFit="1" customWidth="1"/>
    <col min="7" max="7" width="28.00390625" style="24" customWidth="1"/>
    <col min="8" max="15" width="5.25390625" style="24" customWidth="1"/>
    <col min="16" max="16" width="7.875" style="37" bestFit="1" customWidth="1"/>
    <col min="17" max="17" width="6.625" style="24" bestFit="1" customWidth="1"/>
    <col min="18" max="18" width="15.75390625" style="24" bestFit="1" customWidth="1"/>
  </cols>
  <sheetData>
    <row r="1" spans="1:18" s="1" customFormat="1" ht="15" customHeight="1">
      <c r="A1" s="39"/>
      <c r="B1" s="163" t="s">
        <v>566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18" s="1" customFormat="1" ht="79.5" customHeight="1" thickBot="1">
      <c r="A2" s="39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18" s="2" customFormat="1" ht="12.75" customHeight="1">
      <c r="A3" s="161" t="s">
        <v>561</v>
      </c>
      <c r="B3" s="165" t="s">
        <v>0</v>
      </c>
      <c r="C3" s="167" t="s">
        <v>9</v>
      </c>
      <c r="D3" s="167" t="s">
        <v>10</v>
      </c>
      <c r="E3" s="151" t="s">
        <v>11</v>
      </c>
      <c r="F3" s="151" t="s">
        <v>7</v>
      </c>
      <c r="G3" s="151" t="s">
        <v>583</v>
      </c>
      <c r="H3" s="151" t="s">
        <v>2</v>
      </c>
      <c r="I3" s="151"/>
      <c r="J3" s="151"/>
      <c r="K3" s="151"/>
      <c r="L3" s="151" t="s">
        <v>3</v>
      </c>
      <c r="M3" s="151"/>
      <c r="N3" s="151"/>
      <c r="O3" s="151"/>
      <c r="P3" s="151" t="s">
        <v>4</v>
      </c>
      <c r="Q3" s="151" t="s">
        <v>6</v>
      </c>
      <c r="R3" s="169" t="s">
        <v>5</v>
      </c>
    </row>
    <row r="4" spans="1:18" s="2" customFormat="1" ht="35.25" customHeight="1" thickBot="1">
      <c r="A4" s="162"/>
      <c r="B4" s="166"/>
      <c r="C4" s="152"/>
      <c r="D4" s="168"/>
      <c r="E4" s="152"/>
      <c r="F4" s="152"/>
      <c r="G4" s="152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52"/>
      <c r="Q4" s="152"/>
      <c r="R4" s="170"/>
    </row>
    <row r="5" spans="1:17" ht="15.75">
      <c r="A5" s="40"/>
      <c r="B5" s="160" t="s">
        <v>34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18" ht="12.75">
      <c r="A6" s="36" t="s">
        <v>562</v>
      </c>
      <c r="B6" s="29" t="s">
        <v>685</v>
      </c>
      <c r="C6" s="29" t="s">
        <v>36</v>
      </c>
      <c r="D6" s="29" t="s">
        <v>37</v>
      </c>
      <c r="E6" s="29" t="str">
        <f>"0,9506"</f>
        <v>0,9506</v>
      </c>
      <c r="F6" s="29" t="s">
        <v>16</v>
      </c>
      <c r="G6" s="29" t="s">
        <v>682</v>
      </c>
      <c r="H6" s="38" t="s">
        <v>38</v>
      </c>
      <c r="I6" s="41" t="s">
        <v>66</v>
      </c>
      <c r="J6" s="41" t="s">
        <v>66</v>
      </c>
      <c r="K6" s="30"/>
      <c r="L6" s="41" t="s">
        <v>175</v>
      </c>
      <c r="M6" s="38" t="s">
        <v>175</v>
      </c>
      <c r="N6" s="41" t="s">
        <v>121</v>
      </c>
      <c r="O6" s="30"/>
      <c r="P6" s="36">
        <v>347.5</v>
      </c>
      <c r="Q6" s="29" t="str">
        <f>"330,3335"</f>
        <v>330,3335</v>
      </c>
      <c r="R6" s="29" t="s">
        <v>40</v>
      </c>
    </row>
    <row r="7" spans="2:18" ht="12.75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  <c r="N7" s="79"/>
      <c r="O7" s="79"/>
      <c r="P7" s="81"/>
      <c r="Q7" s="79"/>
      <c r="R7" s="79"/>
    </row>
    <row r="8" spans="1:17" ht="15.75">
      <c r="A8" s="40"/>
      <c r="B8" s="195" t="s">
        <v>178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8" ht="12.75">
      <c r="A9" s="36"/>
      <c r="B9" s="29" t="s">
        <v>455</v>
      </c>
      <c r="C9" s="29" t="s">
        <v>456</v>
      </c>
      <c r="D9" s="29" t="s">
        <v>457</v>
      </c>
      <c r="E9" s="29" t="str">
        <f>"0,5558"</f>
        <v>0,5558</v>
      </c>
      <c r="F9" s="29" t="s">
        <v>16</v>
      </c>
      <c r="G9" s="29" t="s">
        <v>17</v>
      </c>
      <c r="H9" s="41" t="s">
        <v>108</v>
      </c>
      <c r="I9" s="41" t="s">
        <v>108</v>
      </c>
      <c r="J9" s="41" t="s">
        <v>108</v>
      </c>
      <c r="K9" s="41"/>
      <c r="L9" s="41" t="s">
        <v>18</v>
      </c>
      <c r="M9" s="41"/>
      <c r="N9" s="30"/>
      <c r="O9" s="30"/>
      <c r="P9" s="36">
        <v>0</v>
      </c>
      <c r="Q9" s="29" t="str">
        <f>"0,0000"</f>
        <v>0,0000</v>
      </c>
      <c r="R9" s="29" t="s">
        <v>40</v>
      </c>
    </row>
  </sheetData>
  <sheetProtection/>
  <mergeCells count="15"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A3:A4"/>
    <mergeCell ref="P3:P4"/>
    <mergeCell ref="Q3:Q4"/>
    <mergeCell ref="R3:R4"/>
    <mergeCell ref="B8:Q8"/>
    <mergeCell ref="B5:Q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A1">
      <selection activeCell="G3" sqref="G3:G4"/>
    </sheetView>
  </sheetViews>
  <sheetFormatPr defaultColWidth="8.75390625" defaultRowHeight="12.75"/>
  <cols>
    <col min="1" max="1" width="6.375" style="37" customWidth="1"/>
    <col min="2" max="2" width="21.625" style="24" customWidth="1"/>
    <col min="3" max="3" width="24.75390625" style="24" customWidth="1"/>
    <col min="4" max="4" width="12.25390625" style="24" bestFit="1" customWidth="1"/>
    <col min="5" max="5" width="8.375" style="24" bestFit="1" customWidth="1"/>
    <col min="6" max="6" width="16.125" style="24" customWidth="1"/>
    <col min="7" max="7" width="18.00390625" style="24" customWidth="1"/>
    <col min="8" max="19" width="5.25390625" style="24" customWidth="1"/>
    <col min="20" max="20" width="7.875" style="37" bestFit="1" customWidth="1"/>
    <col min="21" max="21" width="8.625" style="24" bestFit="1" customWidth="1"/>
    <col min="22" max="22" width="17.875" style="24" bestFit="1" customWidth="1"/>
  </cols>
  <sheetData>
    <row r="1" spans="2:22" s="1" customFormat="1" ht="15" customHeight="1">
      <c r="B1" s="163" t="s">
        <v>574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2:22" s="1" customFormat="1" ht="76.5" customHeight="1" thickBo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22" s="2" customFormat="1" ht="12.75" customHeight="1">
      <c r="A3" s="161" t="s">
        <v>561</v>
      </c>
      <c r="B3" s="165" t="s">
        <v>0</v>
      </c>
      <c r="C3" s="167" t="s">
        <v>9</v>
      </c>
      <c r="D3" s="167" t="s">
        <v>10</v>
      </c>
      <c r="E3" s="151" t="s">
        <v>11</v>
      </c>
      <c r="F3" s="151" t="s">
        <v>7</v>
      </c>
      <c r="G3" s="151" t="s">
        <v>583</v>
      </c>
      <c r="H3" s="151" t="s">
        <v>1</v>
      </c>
      <c r="I3" s="151"/>
      <c r="J3" s="151"/>
      <c r="K3" s="151"/>
      <c r="L3" s="151" t="s">
        <v>2</v>
      </c>
      <c r="M3" s="151"/>
      <c r="N3" s="151"/>
      <c r="O3" s="151"/>
      <c r="P3" s="151" t="s">
        <v>3</v>
      </c>
      <c r="Q3" s="151"/>
      <c r="R3" s="151"/>
      <c r="S3" s="151"/>
      <c r="T3" s="151" t="s">
        <v>4</v>
      </c>
      <c r="U3" s="151" t="s">
        <v>6</v>
      </c>
      <c r="V3" s="169" t="s">
        <v>5</v>
      </c>
    </row>
    <row r="4" spans="1:22" s="2" customFormat="1" ht="35.25" customHeight="1" thickBot="1">
      <c r="A4" s="162"/>
      <c r="B4" s="166"/>
      <c r="C4" s="152"/>
      <c r="D4" s="168"/>
      <c r="E4" s="152"/>
      <c r="F4" s="152"/>
      <c r="G4" s="152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52"/>
      <c r="U4" s="152"/>
      <c r="V4" s="170"/>
    </row>
    <row r="5" spans="1:21" ht="15.75">
      <c r="A5"/>
      <c r="B5" s="160" t="s">
        <v>12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</row>
    <row r="6" spans="1:22" ht="12.75">
      <c r="A6" s="36" t="s">
        <v>562</v>
      </c>
      <c r="B6" s="29" t="s">
        <v>659</v>
      </c>
      <c r="C6" s="29" t="s">
        <v>511</v>
      </c>
      <c r="D6" s="29" t="s">
        <v>512</v>
      </c>
      <c r="E6" s="29" t="str">
        <f>"1,1207"</f>
        <v>1,1207</v>
      </c>
      <c r="F6" s="29" t="s">
        <v>16</v>
      </c>
      <c r="G6" s="29" t="s">
        <v>17</v>
      </c>
      <c r="H6" s="38" t="s">
        <v>44</v>
      </c>
      <c r="I6" s="38" t="s">
        <v>375</v>
      </c>
      <c r="J6" s="41" t="s">
        <v>472</v>
      </c>
      <c r="K6" s="30"/>
      <c r="L6" s="38" t="s">
        <v>21</v>
      </c>
      <c r="M6" s="41" t="s">
        <v>225</v>
      </c>
      <c r="N6" s="41" t="s">
        <v>225</v>
      </c>
      <c r="O6" s="30"/>
      <c r="P6" s="38" t="s">
        <v>102</v>
      </c>
      <c r="Q6" s="38" t="s">
        <v>103</v>
      </c>
      <c r="R6" s="30"/>
      <c r="S6" s="30"/>
      <c r="T6" s="36">
        <v>240</v>
      </c>
      <c r="U6" s="29" t="str">
        <f>"268,9680"</f>
        <v>268,9680</v>
      </c>
      <c r="V6" s="29" t="s">
        <v>513</v>
      </c>
    </row>
  </sheetData>
  <sheetProtection/>
  <mergeCells count="15">
    <mergeCell ref="P3:S3"/>
    <mergeCell ref="T3:T4"/>
    <mergeCell ref="U3:U4"/>
    <mergeCell ref="V3:V4"/>
    <mergeCell ref="B5:U5"/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G28" sqref="G28"/>
    </sheetView>
  </sheetViews>
  <sheetFormatPr defaultColWidth="8.75390625" defaultRowHeight="12.75"/>
  <cols>
    <col min="1" max="1" width="6.25390625" style="37" customWidth="1"/>
    <col min="2" max="2" width="24.25390625" style="24" customWidth="1"/>
    <col min="3" max="3" width="21.375" style="24" bestFit="1" customWidth="1"/>
    <col min="4" max="4" width="12.25390625" style="24" bestFit="1" customWidth="1"/>
    <col min="5" max="5" width="8.375" style="24" bestFit="1" customWidth="1"/>
    <col min="6" max="6" width="13.75390625" style="24" customWidth="1"/>
    <col min="7" max="7" width="28.875" style="24" bestFit="1" customWidth="1"/>
    <col min="8" max="10" width="5.625" style="24" bestFit="1" customWidth="1"/>
    <col min="11" max="11" width="4.625" style="24" bestFit="1" customWidth="1"/>
    <col min="12" max="14" width="5.625" style="24" bestFit="1" customWidth="1"/>
    <col min="15" max="15" width="4.625" style="24" bestFit="1" customWidth="1"/>
    <col min="16" max="18" width="5.625" style="24" bestFit="1" customWidth="1"/>
    <col min="19" max="19" width="4.625" style="24" bestFit="1" customWidth="1"/>
    <col min="20" max="20" width="7.875" style="37" bestFit="1" customWidth="1"/>
    <col min="21" max="21" width="8.625" style="24" bestFit="1" customWidth="1"/>
    <col min="22" max="22" width="19.75390625" style="24" customWidth="1"/>
  </cols>
  <sheetData>
    <row r="1" spans="2:22" s="1" customFormat="1" ht="15" customHeight="1">
      <c r="B1" s="163" t="s">
        <v>575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2:22" s="1" customFormat="1" ht="75" customHeight="1" thickBo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22" s="2" customFormat="1" ht="12.75" customHeight="1">
      <c r="A3" s="161" t="s">
        <v>561</v>
      </c>
      <c r="B3" s="165" t="s">
        <v>0</v>
      </c>
      <c r="C3" s="167" t="s">
        <v>9</v>
      </c>
      <c r="D3" s="167" t="s">
        <v>10</v>
      </c>
      <c r="E3" s="151" t="s">
        <v>11</v>
      </c>
      <c r="F3" s="151" t="s">
        <v>7</v>
      </c>
      <c r="G3" s="151" t="s">
        <v>583</v>
      </c>
      <c r="H3" s="151" t="s">
        <v>1</v>
      </c>
      <c r="I3" s="151"/>
      <c r="J3" s="151"/>
      <c r="K3" s="151"/>
      <c r="L3" s="151" t="s">
        <v>2</v>
      </c>
      <c r="M3" s="151"/>
      <c r="N3" s="151"/>
      <c r="O3" s="151"/>
      <c r="P3" s="151" t="s">
        <v>3</v>
      </c>
      <c r="Q3" s="151"/>
      <c r="R3" s="151"/>
      <c r="S3" s="151"/>
      <c r="T3" s="151" t="s">
        <v>4</v>
      </c>
      <c r="U3" s="151" t="s">
        <v>6</v>
      </c>
      <c r="V3" s="169" t="s">
        <v>5</v>
      </c>
    </row>
    <row r="4" spans="1:22" s="2" customFormat="1" ht="35.25" customHeight="1" thickBot="1">
      <c r="A4" s="162"/>
      <c r="B4" s="166"/>
      <c r="C4" s="152"/>
      <c r="D4" s="168"/>
      <c r="E4" s="152"/>
      <c r="F4" s="152"/>
      <c r="G4" s="152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52"/>
      <c r="U4" s="152"/>
      <c r="V4" s="170"/>
    </row>
    <row r="5" spans="1:21" ht="15.75">
      <c r="A5"/>
      <c r="B5" s="160" t="s">
        <v>24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</row>
    <row r="6" spans="1:22" ht="12.75">
      <c r="A6" s="36" t="s">
        <v>562</v>
      </c>
      <c r="B6" s="29" t="s">
        <v>654</v>
      </c>
      <c r="C6" s="29" t="s">
        <v>502</v>
      </c>
      <c r="D6" s="29" t="s">
        <v>503</v>
      </c>
      <c r="E6" s="29" t="str">
        <f>"0,7932"</f>
        <v>0,7932</v>
      </c>
      <c r="F6" s="29" t="s">
        <v>16</v>
      </c>
      <c r="G6" s="29" t="s">
        <v>656</v>
      </c>
      <c r="H6" s="41" t="s">
        <v>78</v>
      </c>
      <c r="I6" s="41" t="s">
        <v>59</v>
      </c>
      <c r="J6" s="38" t="s">
        <v>108</v>
      </c>
      <c r="K6" s="30"/>
      <c r="L6" s="41" t="s">
        <v>102</v>
      </c>
      <c r="M6" s="38" t="s">
        <v>102</v>
      </c>
      <c r="N6" s="38" t="s">
        <v>363</v>
      </c>
      <c r="O6" s="30"/>
      <c r="P6" s="38" t="s">
        <v>253</v>
      </c>
      <c r="Q6" s="38" t="s">
        <v>59</v>
      </c>
      <c r="R6" s="38" t="s">
        <v>153</v>
      </c>
      <c r="S6" s="30"/>
      <c r="T6" s="36">
        <v>440</v>
      </c>
      <c r="U6" s="29" t="str">
        <f>"349,0080"</f>
        <v>349,0080</v>
      </c>
      <c r="V6" s="29" t="s">
        <v>669</v>
      </c>
    </row>
    <row r="8" spans="1:21" ht="15.75">
      <c r="A8"/>
      <c r="B8" s="171" t="s">
        <v>62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</row>
    <row r="9" spans="1:22" ht="12.75">
      <c r="A9" s="36" t="s">
        <v>562</v>
      </c>
      <c r="B9" s="29" t="s">
        <v>655</v>
      </c>
      <c r="C9" s="29" t="s">
        <v>504</v>
      </c>
      <c r="D9" s="29" t="s">
        <v>76</v>
      </c>
      <c r="E9" s="29" t="str">
        <f>"0,6785"</f>
        <v>0,6785</v>
      </c>
      <c r="F9" s="29" t="s">
        <v>16</v>
      </c>
      <c r="G9" s="29" t="s">
        <v>505</v>
      </c>
      <c r="H9" s="41" t="s">
        <v>391</v>
      </c>
      <c r="I9" s="38" t="s">
        <v>391</v>
      </c>
      <c r="J9" s="38" t="s">
        <v>437</v>
      </c>
      <c r="K9" s="30"/>
      <c r="L9" s="38" t="s">
        <v>136</v>
      </c>
      <c r="M9" s="38" t="s">
        <v>109</v>
      </c>
      <c r="N9" s="41" t="s">
        <v>137</v>
      </c>
      <c r="O9" s="30"/>
      <c r="P9" s="41" t="s">
        <v>434</v>
      </c>
      <c r="Q9" s="38" t="s">
        <v>434</v>
      </c>
      <c r="R9" s="38" t="s">
        <v>399</v>
      </c>
      <c r="S9" s="30"/>
      <c r="T9" s="36">
        <v>712.5</v>
      </c>
      <c r="U9" s="29" t="str">
        <f>"483,4312"</f>
        <v>483,4312</v>
      </c>
      <c r="V9" s="29" t="s">
        <v>629</v>
      </c>
    </row>
    <row r="11" spans="1:21" ht="15.75">
      <c r="A11"/>
      <c r="B11" s="171" t="s">
        <v>85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2" ht="12.75">
      <c r="A12" s="36" t="s">
        <v>562</v>
      </c>
      <c r="B12" s="29" t="s">
        <v>98</v>
      </c>
      <c r="C12" s="29" t="s">
        <v>99</v>
      </c>
      <c r="D12" s="29" t="s">
        <v>100</v>
      </c>
      <c r="E12" s="29" t="str">
        <f>"0,6479"</f>
        <v>0,6479</v>
      </c>
      <c r="F12" s="29" t="s">
        <v>16</v>
      </c>
      <c r="G12" s="29" t="s">
        <v>17</v>
      </c>
      <c r="H12" s="38" t="s">
        <v>30</v>
      </c>
      <c r="I12" s="38" t="s">
        <v>51</v>
      </c>
      <c r="J12" s="30"/>
      <c r="K12" s="30"/>
      <c r="L12" s="38" t="s">
        <v>102</v>
      </c>
      <c r="M12" s="38" t="s">
        <v>103</v>
      </c>
      <c r="N12" s="30"/>
      <c r="O12" s="30"/>
      <c r="P12" s="38" t="s">
        <v>282</v>
      </c>
      <c r="Q12" s="30"/>
      <c r="R12" s="30"/>
      <c r="S12" s="30"/>
      <c r="T12" s="36">
        <v>380</v>
      </c>
      <c r="U12" s="29" t="str">
        <f>"246,2020"</f>
        <v>246,2020</v>
      </c>
      <c r="V12" s="29" t="s">
        <v>40</v>
      </c>
    </row>
    <row r="14" spans="1:21" ht="15.75">
      <c r="A14"/>
      <c r="B14" s="171" t="s">
        <v>115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</row>
    <row r="15" spans="1:22" ht="12.75">
      <c r="A15" s="36" t="s">
        <v>562</v>
      </c>
      <c r="B15" s="29" t="s">
        <v>657</v>
      </c>
      <c r="C15" s="29" t="s">
        <v>506</v>
      </c>
      <c r="D15" s="29" t="s">
        <v>507</v>
      </c>
      <c r="E15" s="29" t="str">
        <f>"0,6098"</f>
        <v>0,6098</v>
      </c>
      <c r="F15" s="29" t="s">
        <v>16</v>
      </c>
      <c r="G15" s="29" t="s">
        <v>17</v>
      </c>
      <c r="H15" s="38" t="s">
        <v>348</v>
      </c>
      <c r="I15" s="38" t="s">
        <v>391</v>
      </c>
      <c r="J15" s="38" t="s">
        <v>437</v>
      </c>
      <c r="K15" s="30"/>
      <c r="L15" s="38" t="s">
        <v>125</v>
      </c>
      <c r="M15" s="50" t="s">
        <v>130</v>
      </c>
      <c r="N15" s="38" t="s">
        <v>136</v>
      </c>
      <c r="O15" s="30"/>
      <c r="P15" s="38" t="s">
        <v>433</v>
      </c>
      <c r="Q15" s="38" t="s">
        <v>426</v>
      </c>
      <c r="R15" s="38" t="s">
        <v>438</v>
      </c>
      <c r="S15" s="30"/>
      <c r="T15" s="36">
        <v>710</v>
      </c>
      <c r="U15" s="29" t="str">
        <f>"432,9580"</f>
        <v>432,9580</v>
      </c>
      <c r="V15" s="29" t="s">
        <v>40</v>
      </c>
    </row>
    <row r="17" spans="1:21" ht="15.75">
      <c r="A17"/>
      <c r="B17" s="171" t="s">
        <v>138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</row>
    <row r="18" spans="1:22" ht="12.75">
      <c r="A18" s="36" t="s">
        <v>562</v>
      </c>
      <c r="B18" s="29" t="s">
        <v>508</v>
      </c>
      <c r="C18" s="29" t="s">
        <v>509</v>
      </c>
      <c r="D18" s="29" t="s">
        <v>510</v>
      </c>
      <c r="E18" s="29" t="str">
        <f>"0,5978"</f>
        <v>0,5978</v>
      </c>
      <c r="F18" s="29" t="s">
        <v>16</v>
      </c>
      <c r="G18" s="29" t="s">
        <v>28</v>
      </c>
      <c r="H18" s="41" t="s">
        <v>167</v>
      </c>
      <c r="I18" s="38" t="s">
        <v>167</v>
      </c>
      <c r="J18" s="38" t="s">
        <v>121</v>
      </c>
      <c r="K18" s="30"/>
      <c r="L18" s="41" t="s">
        <v>78</v>
      </c>
      <c r="M18" s="38" t="s">
        <v>58</v>
      </c>
      <c r="N18" s="38" t="s">
        <v>59</v>
      </c>
      <c r="O18" s="30"/>
      <c r="P18" s="38" t="s">
        <v>167</v>
      </c>
      <c r="Q18" s="38" t="s">
        <v>168</v>
      </c>
      <c r="R18" s="38" t="s">
        <v>348</v>
      </c>
      <c r="S18" s="30"/>
      <c r="T18" s="36">
        <v>615</v>
      </c>
      <c r="U18" s="29" t="str">
        <f>"367,6470"</f>
        <v>367,6470</v>
      </c>
      <c r="V18" s="29" t="s">
        <v>658</v>
      </c>
    </row>
  </sheetData>
  <sheetProtection/>
  <mergeCells count="19"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B14:U14"/>
    <mergeCell ref="B17:U17"/>
    <mergeCell ref="A3:A4"/>
    <mergeCell ref="T3:T4"/>
    <mergeCell ref="U3:U4"/>
    <mergeCell ref="V3:V4"/>
    <mergeCell ref="B5:U5"/>
    <mergeCell ref="B8:U8"/>
    <mergeCell ref="B11:U1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X11" sqref="X11"/>
    </sheetView>
  </sheetViews>
  <sheetFormatPr defaultColWidth="8.75390625" defaultRowHeight="12.75"/>
  <cols>
    <col min="1" max="1" width="6.125" style="37" customWidth="1"/>
    <col min="2" max="2" width="25.75390625" style="24" customWidth="1"/>
    <col min="3" max="3" width="27.125" style="24" bestFit="1" customWidth="1"/>
    <col min="4" max="4" width="12.25390625" style="24" bestFit="1" customWidth="1"/>
    <col min="5" max="5" width="8.375" style="24" bestFit="1" customWidth="1"/>
    <col min="6" max="6" width="16.75390625" style="24" customWidth="1"/>
    <col min="7" max="7" width="24.25390625" style="24" customWidth="1"/>
    <col min="8" max="10" width="5.625" style="24" bestFit="1" customWidth="1"/>
    <col min="11" max="11" width="4.625" style="24" bestFit="1" customWidth="1"/>
    <col min="12" max="14" width="5.625" style="24" bestFit="1" customWidth="1"/>
    <col min="15" max="15" width="4.625" style="24" bestFit="1" customWidth="1"/>
    <col min="16" max="18" width="5.625" style="24" bestFit="1" customWidth="1"/>
    <col min="19" max="19" width="4.625" style="24" bestFit="1" customWidth="1"/>
    <col min="20" max="20" width="7.875" style="37" bestFit="1" customWidth="1"/>
    <col min="21" max="21" width="8.625" style="24" bestFit="1" customWidth="1"/>
    <col min="22" max="22" width="16.875" style="24" customWidth="1"/>
  </cols>
  <sheetData>
    <row r="1" spans="2:22" s="1" customFormat="1" ht="15" customHeight="1">
      <c r="B1" s="163" t="s">
        <v>576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2:22" s="1" customFormat="1" ht="75" customHeight="1" thickBo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22" s="2" customFormat="1" ht="12.75" customHeight="1">
      <c r="A3" s="161" t="s">
        <v>561</v>
      </c>
      <c r="B3" s="165" t="s">
        <v>0</v>
      </c>
      <c r="C3" s="167" t="s">
        <v>9</v>
      </c>
      <c r="D3" s="167" t="s">
        <v>10</v>
      </c>
      <c r="E3" s="151" t="s">
        <v>11</v>
      </c>
      <c r="F3" s="151" t="s">
        <v>7</v>
      </c>
      <c r="G3" s="151" t="s">
        <v>583</v>
      </c>
      <c r="H3" s="151" t="s">
        <v>1</v>
      </c>
      <c r="I3" s="151"/>
      <c r="J3" s="151"/>
      <c r="K3" s="151"/>
      <c r="L3" s="151" t="s">
        <v>2</v>
      </c>
      <c r="M3" s="151"/>
      <c r="N3" s="151"/>
      <c r="O3" s="151"/>
      <c r="P3" s="151" t="s">
        <v>3</v>
      </c>
      <c r="Q3" s="151"/>
      <c r="R3" s="151"/>
      <c r="S3" s="151"/>
      <c r="T3" s="151" t="s">
        <v>4</v>
      </c>
      <c r="U3" s="151" t="s">
        <v>6</v>
      </c>
      <c r="V3" s="169" t="s">
        <v>5</v>
      </c>
    </row>
    <row r="4" spans="1:22" s="2" customFormat="1" ht="35.25" customHeight="1" thickBot="1">
      <c r="A4" s="162"/>
      <c r="B4" s="166"/>
      <c r="C4" s="152"/>
      <c r="D4" s="168"/>
      <c r="E4" s="152"/>
      <c r="F4" s="152"/>
      <c r="G4" s="152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52"/>
      <c r="U4" s="152"/>
      <c r="V4" s="170"/>
    </row>
    <row r="5" spans="1:21" ht="15.75">
      <c r="A5"/>
      <c r="B5" s="160" t="s">
        <v>230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</row>
    <row r="6" spans="1:22" ht="12.75">
      <c r="A6" s="36" t="s">
        <v>562</v>
      </c>
      <c r="B6" s="29" t="s">
        <v>651</v>
      </c>
      <c r="C6" s="29" t="s">
        <v>470</v>
      </c>
      <c r="D6" s="29" t="s">
        <v>471</v>
      </c>
      <c r="E6" s="29" t="str">
        <f>"1,2466"</f>
        <v>1,2466</v>
      </c>
      <c r="F6" s="29" t="s">
        <v>16</v>
      </c>
      <c r="G6" s="29" t="s">
        <v>71</v>
      </c>
      <c r="H6" s="38" t="s">
        <v>46</v>
      </c>
      <c r="I6" s="38" t="s">
        <v>472</v>
      </c>
      <c r="J6" s="41" t="s">
        <v>372</v>
      </c>
      <c r="K6" s="30"/>
      <c r="L6" s="38" t="s">
        <v>20</v>
      </c>
      <c r="M6" s="41" t="s">
        <v>211</v>
      </c>
      <c r="N6" s="41" t="s">
        <v>211</v>
      </c>
      <c r="O6" s="30"/>
      <c r="P6" s="38" t="s">
        <v>383</v>
      </c>
      <c r="Q6" s="38" t="s">
        <v>473</v>
      </c>
      <c r="R6" s="41" t="s">
        <v>102</v>
      </c>
      <c r="S6" s="30"/>
      <c r="T6" s="36">
        <v>225</v>
      </c>
      <c r="U6" s="29" t="str">
        <f>"280,4850"</f>
        <v>280,4850</v>
      </c>
      <c r="V6" s="29" t="s">
        <v>474</v>
      </c>
    </row>
    <row r="8" spans="1:21" ht="15.75">
      <c r="A8"/>
      <c r="B8" s="171" t="s">
        <v>218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</row>
    <row r="9" spans="1:22" ht="12.75">
      <c r="A9" s="36" t="s">
        <v>562</v>
      </c>
      <c r="B9" s="29" t="s">
        <v>650</v>
      </c>
      <c r="C9" s="29" t="s">
        <v>475</v>
      </c>
      <c r="D9" s="29" t="s">
        <v>476</v>
      </c>
      <c r="E9" s="29" t="str">
        <f>"1,2374"</f>
        <v>1,2374</v>
      </c>
      <c r="F9" s="29" t="s">
        <v>16</v>
      </c>
      <c r="G9" s="29" t="s">
        <v>71</v>
      </c>
      <c r="H9" s="41" t="s">
        <v>44</v>
      </c>
      <c r="I9" s="38" t="s">
        <v>44</v>
      </c>
      <c r="J9" s="41" t="s">
        <v>45</v>
      </c>
      <c r="K9" s="30"/>
      <c r="L9" s="38" t="s">
        <v>477</v>
      </c>
      <c r="M9" s="41" t="s">
        <v>478</v>
      </c>
      <c r="N9" s="41" t="s">
        <v>478</v>
      </c>
      <c r="O9" s="30"/>
      <c r="P9" s="38" t="s">
        <v>45</v>
      </c>
      <c r="Q9" s="38" t="s">
        <v>472</v>
      </c>
      <c r="R9" s="38" t="s">
        <v>479</v>
      </c>
      <c r="S9" s="30"/>
      <c r="T9" s="36">
        <v>195</v>
      </c>
      <c r="U9" s="29" t="str">
        <f>"241,2930"</f>
        <v>241,2930</v>
      </c>
      <c r="V9" s="29" t="s">
        <v>653</v>
      </c>
    </row>
    <row r="11" spans="1:21" ht="15.75">
      <c r="A11"/>
      <c r="B11" s="171" t="s">
        <v>24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2" ht="12.75">
      <c r="A12" s="36" t="s">
        <v>562</v>
      </c>
      <c r="B12" s="29" t="s">
        <v>480</v>
      </c>
      <c r="C12" s="29" t="s">
        <v>481</v>
      </c>
      <c r="D12" s="29" t="s">
        <v>482</v>
      </c>
      <c r="E12" s="29" t="str">
        <f>"1,0638"</f>
        <v>1,0638</v>
      </c>
      <c r="F12" s="29" t="s">
        <v>16</v>
      </c>
      <c r="G12" s="29" t="s">
        <v>594</v>
      </c>
      <c r="H12" s="38" t="s">
        <v>483</v>
      </c>
      <c r="I12" s="41" t="s">
        <v>44</v>
      </c>
      <c r="J12" s="41" t="s">
        <v>44</v>
      </c>
      <c r="K12" s="30"/>
      <c r="L12" s="38" t="s">
        <v>478</v>
      </c>
      <c r="M12" s="41" t="s">
        <v>484</v>
      </c>
      <c r="N12" s="41" t="s">
        <v>20</v>
      </c>
      <c r="O12" s="30"/>
      <c r="P12" s="38" t="s">
        <v>44</v>
      </c>
      <c r="Q12" s="38" t="s">
        <v>45</v>
      </c>
      <c r="R12" s="38" t="s">
        <v>46</v>
      </c>
      <c r="S12" s="30"/>
      <c r="T12" s="36">
        <v>177.5</v>
      </c>
      <c r="U12" s="29" t="str">
        <f>"188,8245"</f>
        <v>188,8245</v>
      </c>
      <c r="V12" s="29" t="s">
        <v>485</v>
      </c>
    </row>
    <row r="14" spans="1:21" ht="15.75">
      <c r="A14"/>
      <c r="B14" s="171" t="s">
        <v>34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</row>
    <row r="15" spans="1:22" ht="12.75">
      <c r="A15" s="36"/>
      <c r="B15" s="29" t="s">
        <v>486</v>
      </c>
      <c r="C15" s="29" t="s">
        <v>487</v>
      </c>
      <c r="D15" s="29" t="s">
        <v>488</v>
      </c>
      <c r="E15" s="29" t="str">
        <f>"0,9919"</f>
        <v>0,9919</v>
      </c>
      <c r="F15" s="29" t="s">
        <v>379</v>
      </c>
      <c r="G15" s="29" t="s">
        <v>17</v>
      </c>
      <c r="H15" s="41" t="s">
        <v>248</v>
      </c>
      <c r="I15" s="41" t="s">
        <v>248</v>
      </c>
      <c r="J15" s="41" t="s">
        <v>248</v>
      </c>
      <c r="K15" s="41"/>
      <c r="L15" s="41" t="s">
        <v>489</v>
      </c>
      <c r="M15" s="41"/>
      <c r="N15" s="41"/>
      <c r="O15" s="41"/>
      <c r="P15" s="41" t="s">
        <v>29</v>
      </c>
      <c r="Q15" s="41"/>
      <c r="R15" s="30"/>
      <c r="S15" s="30"/>
      <c r="T15" s="36">
        <v>0</v>
      </c>
      <c r="U15" s="29" t="str">
        <f>"0,0000"</f>
        <v>0,0000</v>
      </c>
      <c r="V15" s="29" t="s">
        <v>670</v>
      </c>
    </row>
    <row r="17" spans="1:21" ht="15.75">
      <c r="A17"/>
      <c r="B17" s="171" t="s">
        <v>34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</row>
    <row r="18" spans="1:22" ht="12.75">
      <c r="A18" s="36" t="s">
        <v>562</v>
      </c>
      <c r="B18" s="29" t="s">
        <v>645</v>
      </c>
      <c r="C18" s="29" t="s">
        <v>490</v>
      </c>
      <c r="D18" s="29" t="s">
        <v>491</v>
      </c>
      <c r="E18" s="29" t="str">
        <f>"0,7437"</f>
        <v>0,7437</v>
      </c>
      <c r="F18" s="29" t="s">
        <v>16</v>
      </c>
      <c r="G18" s="29" t="s">
        <v>17</v>
      </c>
      <c r="H18" s="38" t="s">
        <v>125</v>
      </c>
      <c r="I18" s="41" t="s">
        <v>109</v>
      </c>
      <c r="J18" s="41" t="s">
        <v>109</v>
      </c>
      <c r="K18" s="30"/>
      <c r="L18" s="38" t="s">
        <v>51</v>
      </c>
      <c r="M18" s="38" t="s">
        <v>82</v>
      </c>
      <c r="N18" s="38" t="s">
        <v>52</v>
      </c>
      <c r="O18" s="30"/>
      <c r="P18" s="38" t="s">
        <v>108</v>
      </c>
      <c r="Q18" s="38" t="s">
        <v>130</v>
      </c>
      <c r="R18" s="38" t="s">
        <v>109</v>
      </c>
      <c r="S18" s="30"/>
      <c r="T18" s="36">
        <v>487.5</v>
      </c>
      <c r="U18" s="29" t="str">
        <f>"362,5538"</f>
        <v>362,5538</v>
      </c>
      <c r="V18" s="29" t="s">
        <v>259</v>
      </c>
    </row>
    <row r="19" spans="1:22" ht="12.75">
      <c r="A19" s="36" t="s">
        <v>562</v>
      </c>
      <c r="B19" s="29" t="s">
        <v>646</v>
      </c>
      <c r="C19" s="29" t="s">
        <v>492</v>
      </c>
      <c r="D19" s="29" t="s">
        <v>493</v>
      </c>
      <c r="E19" s="29" t="str">
        <f>"0,7322"</f>
        <v>0,7322</v>
      </c>
      <c r="F19" s="29" t="s">
        <v>16</v>
      </c>
      <c r="G19" s="29" t="s">
        <v>17</v>
      </c>
      <c r="H19" s="38" t="s">
        <v>31</v>
      </c>
      <c r="I19" s="41" t="s">
        <v>89</v>
      </c>
      <c r="J19" s="30"/>
      <c r="K19" s="30"/>
      <c r="L19" s="41" t="s">
        <v>102</v>
      </c>
      <c r="M19" s="38" t="s">
        <v>366</v>
      </c>
      <c r="N19" s="38" t="s">
        <v>248</v>
      </c>
      <c r="O19" s="30"/>
      <c r="P19" s="38" t="s">
        <v>253</v>
      </c>
      <c r="Q19" s="38" t="s">
        <v>58</v>
      </c>
      <c r="R19" s="50"/>
      <c r="S19" s="30"/>
      <c r="T19" s="36">
        <v>382.5</v>
      </c>
      <c r="U19" s="29" t="str">
        <f>"280,0665"</f>
        <v>280,0665</v>
      </c>
      <c r="V19" s="29" t="s">
        <v>40</v>
      </c>
    </row>
    <row r="21" spans="1:21" ht="15.75">
      <c r="A21"/>
      <c r="B21" s="171" t="s">
        <v>62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</row>
    <row r="22" spans="1:22" ht="12.75">
      <c r="A22" s="36" t="s">
        <v>562</v>
      </c>
      <c r="B22" s="29" t="s">
        <v>648</v>
      </c>
      <c r="C22" s="29" t="s">
        <v>494</v>
      </c>
      <c r="D22" s="29" t="s">
        <v>495</v>
      </c>
      <c r="E22" s="29" t="str">
        <f>"0,7106"</f>
        <v>0,7106</v>
      </c>
      <c r="F22" s="29" t="s">
        <v>16</v>
      </c>
      <c r="G22" s="29" t="s">
        <v>652</v>
      </c>
      <c r="H22" s="38" t="s">
        <v>59</v>
      </c>
      <c r="I22" s="38" t="s">
        <v>125</v>
      </c>
      <c r="J22" s="38" t="s">
        <v>109</v>
      </c>
      <c r="K22" s="30"/>
      <c r="L22" s="41" t="s">
        <v>102</v>
      </c>
      <c r="M22" s="38" t="s">
        <v>102</v>
      </c>
      <c r="N22" s="41" t="s">
        <v>103</v>
      </c>
      <c r="O22" s="30"/>
      <c r="P22" s="38" t="s">
        <v>125</v>
      </c>
      <c r="Q22" s="38" t="s">
        <v>109</v>
      </c>
      <c r="R22" s="38" t="s">
        <v>174</v>
      </c>
      <c r="S22" s="30"/>
      <c r="T22" s="36">
        <v>470</v>
      </c>
      <c r="U22" s="29" t="str">
        <f>"333,9820"</f>
        <v>333,9820</v>
      </c>
      <c r="V22" s="29" t="s">
        <v>496</v>
      </c>
    </row>
    <row r="23" spans="1:22" ht="12.75">
      <c r="A23" s="36" t="s">
        <v>562</v>
      </c>
      <c r="B23" s="29" t="s">
        <v>647</v>
      </c>
      <c r="C23" s="29" t="s">
        <v>270</v>
      </c>
      <c r="D23" s="29" t="s">
        <v>271</v>
      </c>
      <c r="E23" s="29" t="str">
        <f>"0,6795"</f>
        <v>0,6795</v>
      </c>
      <c r="F23" s="29" t="s">
        <v>16</v>
      </c>
      <c r="G23" s="29" t="s">
        <v>17</v>
      </c>
      <c r="H23" s="41" t="s">
        <v>125</v>
      </c>
      <c r="I23" s="38" t="s">
        <v>136</v>
      </c>
      <c r="J23" s="41" t="s">
        <v>72</v>
      </c>
      <c r="K23" s="30"/>
      <c r="L23" s="38" t="s">
        <v>82</v>
      </c>
      <c r="M23" s="38" t="s">
        <v>282</v>
      </c>
      <c r="N23" s="38" t="s">
        <v>53</v>
      </c>
      <c r="O23" s="30"/>
      <c r="P23" s="41" t="s">
        <v>109</v>
      </c>
      <c r="Q23" s="38" t="s">
        <v>149</v>
      </c>
      <c r="R23" s="38" t="s">
        <v>175</v>
      </c>
      <c r="S23" s="30"/>
      <c r="T23" s="36">
        <v>517.5</v>
      </c>
      <c r="U23" s="29" t="str">
        <f>"351,6412"</f>
        <v>351,6412</v>
      </c>
      <c r="V23" s="29" t="s">
        <v>259</v>
      </c>
    </row>
    <row r="24" spans="1:22" ht="12.75">
      <c r="A24" s="36" t="s">
        <v>562</v>
      </c>
      <c r="B24" s="29" t="s">
        <v>649</v>
      </c>
      <c r="C24" s="29" t="s">
        <v>497</v>
      </c>
      <c r="D24" s="29" t="s">
        <v>498</v>
      </c>
      <c r="E24" s="29" t="str">
        <f>"0,6724"</f>
        <v>0,6724</v>
      </c>
      <c r="F24" s="29" t="s">
        <v>216</v>
      </c>
      <c r="G24" s="29" t="s">
        <v>17</v>
      </c>
      <c r="H24" s="41" t="s">
        <v>78</v>
      </c>
      <c r="I24" s="41" t="s">
        <v>78</v>
      </c>
      <c r="J24" s="38" t="s">
        <v>58</v>
      </c>
      <c r="K24" s="30"/>
      <c r="L24" s="38" t="s">
        <v>372</v>
      </c>
      <c r="M24" s="38" t="s">
        <v>102</v>
      </c>
      <c r="N24" s="38" t="s">
        <v>248</v>
      </c>
      <c r="O24" s="30"/>
      <c r="P24" s="41" t="s">
        <v>125</v>
      </c>
      <c r="Q24" s="38" t="s">
        <v>109</v>
      </c>
      <c r="R24" s="38" t="s">
        <v>174</v>
      </c>
      <c r="S24" s="30"/>
      <c r="T24" s="36">
        <v>450</v>
      </c>
      <c r="U24" s="29" t="str">
        <f>"302,5800"</f>
        <v>302,5800</v>
      </c>
      <c r="V24" s="29" t="s">
        <v>217</v>
      </c>
    </row>
    <row r="26" spans="1:21" ht="15.75">
      <c r="A26"/>
      <c r="B26" s="171" t="s">
        <v>85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22" ht="12.75">
      <c r="A27" s="36" t="s">
        <v>562</v>
      </c>
      <c r="B27" s="29" t="s">
        <v>644</v>
      </c>
      <c r="C27" s="29" t="s">
        <v>499</v>
      </c>
      <c r="D27" s="29" t="s">
        <v>344</v>
      </c>
      <c r="E27" s="29" t="str">
        <f>"0,6391"</f>
        <v>0,6391</v>
      </c>
      <c r="F27" s="29" t="s">
        <v>216</v>
      </c>
      <c r="G27" s="29" t="s">
        <v>17</v>
      </c>
      <c r="H27" s="41" t="s">
        <v>59</v>
      </c>
      <c r="I27" s="38" t="s">
        <v>59</v>
      </c>
      <c r="J27" s="38" t="s">
        <v>136</v>
      </c>
      <c r="K27" s="30"/>
      <c r="L27" s="38" t="s">
        <v>102</v>
      </c>
      <c r="M27" s="38" t="s">
        <v>363</v>
      </c>
      <c r="N27" s="41" t="s">
        <v>103</v>
      </c>
      <c r="O27" s="30"/>
      <c r="P27" s="38" t="s">
        <v>59</v>
      </c>
      <c r="Q27" s="41" t="s">
        <v>108</v>
      </c>
      <c r="R27" s="30"/>
      <c r="S27" s="30"/>
      <c r="T27" s="36">
        <v>442.5</v>
      </c>
      <c r="U27" s="29" t="str">
        <f>"282,8018"</f>
        <v>282,8018</v>
      </c>
      <c r="V27" s="29" t="s">
        <v>217</v>
      </c>
    </row>
    <row r="28" spans="11:13" ht="12.75">
      <c r="K28" s="42"/>
      <c r="L28" s="42"/>
      <c r="M28" s="42"/>
    </row>
    <row r="29" spans="1:21" ht="15.75">
      <c r="A29"/>
      <c r="B29" s="171" t="s">
        <v>115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</row>
    <row r="30" spans="1:22" ht="12.75">
      <c r="A30" s="36" t="s">
        <v>562</v>
      </c>
      <c r="B30" s="29" t="s">
        <v>513</v>
      </c>
      <c r="C30" s="29" t="s">
        <v>500</v>
      </c>
      <c r="D30" s="29" t="s">
        <v>501</v>
      </c>
      <c r="E30" s="29" t="str">
        <f>"0,6108"</f>
        <v>0,6108</v>
      </c>
      <c r="F30" s="29" t="s">
        <v>95</v>
      </c>
      <c r="G30" s="29" t="s">
        <v>71</v>
      </c>
      <c r="H30" s="38" t="s">
        <v>109</v>
      </c>
      <c r="I30" s="38" t="s">
        <v>174</v>
      </c>
      <c r="J30" s="38" t="s">
        <v>175</v>
      </c>
      <c r="K30" s="50"/>
      <c r="L30" s="38" t="s">
        <v>125</v>
      </c>
      <c r="M30" s="38" t="s">
        <v>136</v>
      </c>
      <c r="N30" s="41" t="s">
        <v>109</v>
      </c>
      <c r="O30" s="30"/>
      <c r="P30" s="38" t="s">
        <v>144</v>
      </c>
      <c r="Q30" s="38" t="s">
        <v>397</v>
      </c>
      <c r="R30" s="41" t="s">
        <v>433</v>
      </c>
      <c r="S30" s="30"/>
      <c r="T30" s="36">
        <v>617.5</v>
      </c>
      <c r="U30" s="29" t="str">
        <f>"377,1690"</f>
        <v>377,1690</v>
      </c>
      <c r="V30" s="29" t="s">
        <v>40</v>
      </c>
    </row>
  </sheetData>
  <sheetProtection/>
  <mergeCells count="22">
    <mergeCell ref="B26:U26"/>
    <mergeCell ref="B5:U5"/>
    <mergeCell ref="B8:U8"/>
    <mergeCell ref="B11:U11"/>
    <mergeCell ref="B1:V2"/>
    <mergeCell ref="B3:B4"/>
    <mergeCell ref="C3:C4"/>
    <mergeCell ref="D3:D4"/>
    <mergeCell ref="E3:E4"/>
    <mergeCell ref="F3:F4"/>
    <mergeCell ref="L3:O3"/>
    <mergeCell ref="V3:V4"/>
    <mergeCell ref="B29:U29"/>
    <mergeCell ref="A3:A4"/>
    <mergeCell ref="T3:T4"/>
    <mergeCell ref="U3:U4"/>
    <mergeCell ref="G3:G4"/>
    <mergeCell ref="H3:K3"/>
    <mergeCell ref="P3:S3"/>
    <mergeCell ref="B14:U14"/>
    <mergeCell ref="B17:U17"/>
    <mergeCell ref="B21:U2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69"/>
  <sheetViews>
    <sheetView workbookViewId="0" topLeftCell="A12">
      <selection activeCell="G3" sqref="G3:G4"/>
    </sheetView>
  </sheetViews>
  <sheetFormatPr defaultColWidth="8.75390625" defaultRowHeight="12.75"/>
  <cols>
    <col min="1" max="1" width="6.75390625" style="37" customWidth="1"/>
    <col min="2" max="2" width="26.75390625" style="24" customWidth="1"/>
    <col min="3" max="3" width="27.125" style="24" bestFit="1" customWidth="1"/>
    <col min="4" max="4" width="12.25390625" style="24" bestFit="1" customWidth="1"/>
    <col min="5" max="5" width="8.375" style="24" bestFit="1" customWidth="1"/>
    <col min="6" max="6" width="14.125" style="24" customWidth="1"/>
    <col min="7" max="7" width="27.875" style="24" customWidth="1"/>
    <col min="8" max="18" width="5.625" style="24" bestFit="1" customWidth="1"/>
    <col min="19" max="19" width="4.625" style="24" bestFit="1" customWidth="1"/>
    <col min="20" max="20" width="7.875" style="37" bestFit="1" customWidth="1"/>
    <col min="21" max="21" width="8.625" style="24" bestFit="1" customWidth="1"/>
    <col min="22" max="22" width="19.00390625" style="24" customWidth="1"/>
  </cols>
  <sheetData>
    <row r="1" spans="2:22" s="1" customFormat="1" ht="15" customHeight="1">
      <c r="B1" s="163" t="s">
        <v>577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2:22" s="1" customFormat="1" ht="75.75" customHeight="1" thickBo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22" s="2" customFormat="1" ht="12.75" customHeight="1">
      <c r="A3" s="161" t="s">
        <v>561</v>
      </c>
      <c r="B3" s="165" t="s">
        <v>0</v>
      </c>
      <c r="C3" s="167" t="s">
        <v>9</v>
      </c>
      <c r="D3" s="167" t="s">
        <v>10</v>
      </c>
      <c r="E3" s="151" t="s">
        <v>11</v>
      </c>
      <c r="F3" s="151" t="s">
        <v>7</v>
      </c>
      <c r="G3" s="151" t="s">
        <v>583</v>
      </c>
      <c r="H3" s="151" t="s">
        <v>1</v>
      </c>
      <c r="I3" s="151"/>
      <c r="J3" s="151"/>
      <c r="K3" s="151"/>
      <c r="L3" s="151" t="s">
        <v>2</v>
      </c>
      <c r="M3" s="151"/>
      <c r="N3" s="151"/>
      <c r="O3" s="151"/>
      <c r="P3" s="151" t="s">
        <v>3</v>
      </c>
      <c r="Q3" s="151"/>
      <c r="R3" s="151"/>
      <c r="S3" s="151"/>
      <c r="T3" s="151" t="s">
        <v>4</v>
      </c>
      <c r="U3" s="151" t="s">
        <v>6</v>
      </c>
      <c r="V3" s="169" t="s">
        <v>5</v>
      </c>
    </row>
    <row r="4" spans="1:22" s="2" customFormat="1" ht="35.25" customHeight="1" thickBot="1">
      <c r="A4" s="162"/>
      <c r="B4" s="166"/>
      <c r="C4" s="152"/>
      <c r="D4" s="168"/>
      <c r="E4" s="152"/>
      <c r="F4" s="152"/>
      <c r="G4" s="152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52"/>
      <c r="U4" s="152"/>
      <c r="V4" s="170"/>
    </row>
    <row r="5" spans="1:21" ht="15.75">
      <c r="A5"/>
      <c r="B5" s="160" t="s">
        <v>218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</row>
    <row r="6" spans="1:22" ht="12.75">
      <c r="A6" s="36" t="s">
        <v>562</v>
      </c>
      <c r="B6" s="29" t="s">
        <v>354</v>
      </c>
      <c r="C6" s="29" t="s">
        <v>355</v>
      </c>
      <c r="D6" s="29" t="s">
        <v>356</v>
      </c>
      <c r="E6" s="29" t="str">
        <f>"1,1816"</f>
        <v>1,1816</v>
      </c>
      <c r="F6" s="29" t="s">
        <v>95</v>
      </c>
      <c r="G6" s="29" t="s">
        <v>17</v>
      </c>
      <c r="H6" s="41" t="s">
        <v>241</v>
      </c>
      <c r="I6" s="38" t="s">
        <v>241</v>
      </c>
      <c r="J6" s="38" t="s">
        <v>242</v>
      </c>
      <c r="K6" s="30"/>
      <c r="L6" s="38" t="s">
        <v>357</v>
      </c>
      <c r="M6" s="38" t="s">
        <v>44</v>
      </c>
      <c r="N6" s="38" t="s">
        <v>358</v>
      </c>
      <c r="O6" s="50"/>
      <c r="P6" s="38" t="s">
        <v>58</v>
      </c>
      <c r="Q6" s="38" t="s">
        <v>108</v>
      </c>
      <c r="R6" s="38" t="s">
        <v>125</v>
      </c>
      <c r="S6" s="50"/>
      <c r="T6" s="36">
        <v>360</v>
      </c>
      <c r="U6" s="29" t="str">
        <f>"425,3760"</f>
        <v>425,3760</v>
      </c>
      <c r="V6" s="29" t="s">
        <v>97</v>
      </c>
    </row>
    <row r="7" spans="9:19" ht="12.75">
      <c r="I7" s="42"/>
      <c r="J7" s="42"/>
      <c r="L7" s="42"/>
      <c r="M7" s="42"/>
      <c r="N7" s="42"/>
      <c r="O7" s="42"/>
      <c r="P7" s="42"/>
      <c r="Q7" s="42"/>
      <c r="R7" s="42"/>
      <c r="S7" s="42"/>
    </row>
    <row r="8" spans="1:21" ht="15.75">
      <c r="A8"/>
      <c r="B8" s="171" t="s">
        <v>12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</row>
    <row r="9" spans="1:22" ht="12.75">
      <c r="A9" s="36" t="s">
        <v>562</v>
      </c>
      <c r="B9" s="29" t="s">
        <v>359</v>
      </c>
      <c r="C9" s="29" t="s">
        <v>360</v>
      </c>
      <c r="D9" s="29" t="s">
        <v>361</v>
      </c>
      <c r="E9" s="29" t="str">
        <f>"1,1371"</f>
        <v>1,1371</v>
      </c>
      <c r="F9" s="29" t="s">
        <v>95</v>
      </c>
      <c r="G9" s="29" t="s">
        <v>17</v>
      </c>
      <c r="H9" s="38" t="s">
        <v>362</v>
      </c>
      <c r="I9" s="41" t="s">
        <v>363</v>
      </c>
      <c r="J9" s="41" t="s">
        <v>363</v>
      </c>
      <c r="K9" s="30"/>
      <c r="L9" s="38" t="s">
        <v>364</v>
      </c>
      <c r="M9" s="38" t="s">
        <v>365</v>
      </c>
      <c r="N9" s="38" t="s">
        <v>44</v>
      </c>
      <c r="O9" s="30"/>
      <c r="P9" s="38" t="s">
        <v>366</v>
      </c>
      <c r="Q9" s="38" t="s">
        <v>241</v>
      </c>
      <c r="R9" s="41" t="s">
        <v>242</v>
      </c>
      <c r="S9" s="30"/>
      <c r="T9" s="36">
        <v>280</v>
      </c>
      <c r="U9" s="29" t="str">
        <f>"318,3880"</f>
        <v>318,3880</v>
      </c>
      <c r="V9" s="29" t="s">
        <v>97</v>
      </c>
    </row>
    <row r="10" spans="1:22" ht="12.75">
      <c r="A10" s="36" t="s">
        <v>570</v>
      </c>
      <c r="B10" s="29" t="s">
        <v>367</v>
      </c>
      <c r="C10" s="29" t="s">
        <v>368</v>
      </c>
      <c r="D10" s="29" t="s">
        <v>247</v>
      </c>
      <c r="E10" s="29" t="str">
        <f>"1,1149"</f>
        <v>1,1149</v>
      </c>
      <c r="F10" s="29" t="s">
        <v>114</v>
      </c>
      <c r="G10" s="29" t="s">
        <v>17</v>
      </c>
      <c r="H10" s="38" t="s">
        <v>357</v>
      </c>
      <c r="I10" s="38" t="s">
        <v>358</v>
      </c>
      <c r="J10" s="38" t="s">
        <v>369</v>
      </c>
      <c r="K10" s="30"/>
      <c r="L10" s="38" t="s">
        <v>370</v>
      </c>
      <c r="M10" s="38" t="s">
        <v>371</v>
      </c>
      <c r="N10" s="38" t="s">
        <v>19</v>
      </c>
      <c r="O10" s="30"/>
      <c r="P10" s="38" t="s">
        <v>46</v>
      </c>
      <c r="Q10" s="38" t="s">
        <v>372</v>
      </c>
      <c r="R10" s="41" t="s">
        <v>362</v>
      </c>
      <c r="S10" s="30"/>
      <c r="T10" s="36">
        <v>207.5</v>
      </c>
      <c r="U10" s="29" t="str">
        <f>"231,3417"</f>
        <v>231,3417</v>
      </c>
      <c r="V10" s="29" t="s">
        <v>97</v>
      </c>
    </row>
    <row r="12" spans="1:21" ht="15.75">
      <c r="A12"/>
      <c r="B12" s="171" t="s">
        <v>24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</row>
    <row r="13" spans="1:22" ht="12.75">
      <c r="A13" s="36" t="s">
        <v>562</v>
      </c>
      <c r="B13" s="29" t="s">
        <v>373</v>
      </c>
      <c r="C13" s="29" t="s">
        <v>374</v>
      </c>
      <c r="D13" s="29" t="s">
        <v>27</v>
      </c>
      <c r="E13" s="29" t="str">
        <f>"1,0374"</f>
        <v>1,0374</v>
      </c>
      <c r="F13" s="29" t="s">
        <v>95</v>
      </c>
      <c r="G13" s="29" t="s">
        <v>17</v>
      </c>
      <c r="H13" s="38" t="s">
        <v>242</v>
      </c>
      <c r="I13" s="38" t="s">
        <v>89</v>
      </c>
      <c r="J13" s="41" t="s">
        <v>96</v>
      </c>
      <c r="K13" s="30"/>
      <c r="L13" s="38" t="s">
        <v>358</v>
      </c>
      <c r="M13" s="38" t="s">
        <v>369</v>
      </c>
      <c r="N13" s="41" t="s">
        <v>375</v>
      </c>
      <c r="O13" s="30"/>
      <c r="P13" s="38" t="s">
        <v>58</v>
      </c>
      <c r="Q13" s="38" t="s">
        <v>108</v>
      </c>
      <c r="R13" s="38" t="s">
        <v>125</v>
      </c>
      <c r="S13" s="30"/>
      <c r="T13" s="36">
        <v>372.5</v>
      </c>
      <c r="U13" s="29" t="str">
        <f>"386,4315"</f>
        <v>386,4315</v>
      </c>
      <c r="V13" s="29" t="s">
        <v>97</v>
      </c>
    </row>
    <row r="14" spans="1:22" ht="12.75">
      <c r="A14" s="36" t="s">
        <v>570</v>
      </c>
      <c r="B14" s="29" t="s">
        <v>376</v>
      </c>
      <c r="C14" s="29" t="s">
        <v>377</v>
      </c>
      <c r="D14" s="29" t="s">
        <v>378</v>
      </c>
      <c r="E14" s="29" t="str">
        <f>"1,0527"</f>
        <v>1,0527</v>
      </c>
      <c r="F14" s="29" t="s">
        <v>379</v>
      </c>
      <c r="G14" s="29" t="s">
        <v>17</v>
      </c>
      <c r="H14" s="38" t="s">
        <v>248</v>
      </c>
      <c r="I14" s="41" t="s">
        <v>29</v>
      </c>
      <c r="J14" s="41" t="s">
        <v>242</v>
      </c>
      <c r="K14" s="30"/>
      <c r="L14" s="38" t="s">
        <v>357</v>
      </c>
      <c r="M14" s="38" t="s">
        <v>44</v>
      </c>
      <c r="N14" s="38" t="s">
        <v>45</v>
      </c>
      <c r="O14" s="30"/>
      <c r="P14" s="38" t="s">
        <v>248</v>
      </c>
      <c r="Q14" s="38" t="s">
        <v>103</v>
      </c>
      <c r="R14" s="38" t="s">
        <v>29</v>
      </c>
      <c r="S14" s="30"/>
      <c r="T14" s="36">
        <v>295</v>
      </c>
      <c r="U14" s="29" t="str">
        <f>"310,5465"</f>
        <v>310,5465</v>
      </c>
      <c r="V14" s="29" t="s">
        <v>380</v>
      </c>
    </row>
    <row r="16" spans="1:21" ht="15.75">
      <c r="A16"/>
      <c r="B16" s="171" t="s">
        <v>34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</row>
    <row r="17" spans="1:22" ht="12.75">
      <c r="A17" s="36" t="s">
        <v>562</v>
      </c>
      <c r="B17" s="29" t="s">
        <v>381</v>
      </c>
      <c r="C17" s="29" t="s">
        <v>382</v>
      </c>
      <c r="D17" s="29" t="s">
        <v>37</v>
      </c>
      <c r="E17" s="29" t="str">
        <f>"0,9506"</f>
        <v>0,9506</v>
      </c>
      <c r="F17" s="29" t="s">
        <v>95</v>
      </c>
      <c r="G17" s="29" t="s">
        <v>17</v>
      </c>
      <c r="H17" s="38" t="s">
        <v>102</v>
      </c>
      <c r="I17" s="38" t="s">
        <v>363</v>
      </c>
      <c r="J17" s="41" t="s">
        <v>241</v>
      </c>
      <c r="K17" s="30"/>
      <c r="L17" s="38" t="s">
        <v>369</v>
      </c>
      <c r="M17" s="38" t="s">
        <v>46</v>
      </c>
      <c r="N17" s="38" t="s">
        <v>383</v>
      </c>
      <c r="O17" s="50"/>
      <c r="P17" s="38" t="s">
        <v>58</v>
      </c>
      <c r="Q17" s="38" t="s">
        <v>153</v>
      </c>
      <c r="R17" s="38" t="s">
        <v>136</v>
      </c>
      <c r="S17" s="30"/>
      <c r="T17" s="36">
        <v>367.5</v>
      </c>
      <c r="U17" s="29" t="str">
        <f>"349,3455"</f>
        <v>349,3455</v>
      </c>
      <c r="V17" s="29" t="s">
        <v>97</v>
      </c>
    </row>
    <row r="19" spans="1:21" ht="15.75">
      <c r="A19"/>
      <c r="B19" s="171" t="s">
        <v>24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</row>
    <row r="20" spans="1:22" ht="12.75">
      <c r="A20" s="36" t="s">
        <v>562</v>
      </c>
      <c r="B20" s="29" t="s">
        <v>384</v>
      </c>
      <c r="C20" s="29" t="s">
        <v>385</v>
      </c>
      <c r="D20" s="29" t="s">
        <v>378</v>
      </c>
      <c r="E20" s="29" t="str">
        <f>"0,7983"</f>
        <v>0,7983</v>
      </c>
      <c r="F20" s="29" t="s">
        <v>16</v>
      </c>
      <c r="G20" s="29" t="s">
        <v>17</v>
      </c>
      <c r="H20" s="38" t="s">
        <v>372</v>
      </c>
      <c r="I20" s="38" t="s">
        <v>363</v>
      </c>
      <c r="J20" s="38" t="s">
        <v>29</v>
      </c>
      <c r="K20" s="50"/>
      <c r="L20" s="38" t="s">
        <v>44</v>
      </c>
      <c r="M20" s="38" t="s">
        <v>45</v>
      </c>
      <c r="N20" s="38" t="s">
        <v>375</v>
      </c>
      <c r="O20" s="50"/>
      <c r="P20" s="38" t="s">
        <v>51</v>
      </c>
      <c r="Q20" s="38" t="s">
        <v>282</v>
      </c>
      <c r="R20" s="38" t="s">
        <v>78</v>
      </c>
      <c r="S20" s="30"/>
      <c r="T20" s="36">
        <v>345</v>
      </c>
      <c r="U20" s="29" t="str">
        <f>"275,4135"</f>
        <v>275,4135</v>
      </c>
      <c r="V20" s="29" t="s">
        <v>23</v>
      </c>
    </row>
    <row r="22" spans="1:21" ht="15.75">
      <c r="A22"/>
      <c r="B22" s="171" t="s">
        <v>62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</row>
    <row r="23" spans="1:22" ht="12.75">
      <c r="A23" s="36" t="s">
        <v>562</v>
      </c>
      <c r="B23" s="29" t="s">
        <v>386</v>
      </c>
      <c r="C23" s="29" t="s">
        <v>387</v>
      </c>
      <c r="D23" s="29" t="s">
        <v>388</v>
      </c>
      <c r="E23" s="29" t="str">
        <f>"0,6699"</f>
        <v>0,6699</v>
      </c>
      <c r="F23" s="29" t="s">
        <v>16</v>
      </c>
      <c r="G23" s="29" t="s">
        <v>17</v>
      </c>
      <c r="H23" s="38" t="s">
        <v>175</v>
      </c>
      <c r="I23" s="41" t="s">
        <v>143</v>
      </c>
      <c r="J23" s="38" t="s">
        <v>389</v>
      </c>
      <c r="K23" s="41" t="s">
        <v>144</v>
      </c>
      <c r="L23" s="38" t="s">
        <v>30</v>
      </c>
      <c r="M23" s="38" t="s">
        <v>51</v>
      </c>
      <c r="N23" s="38" t="s">
        <v>52</v>
      </c>
      <c r="O23" s="38" t="s">
        <v>282</v>
      </c>
      <c r="P23" s="38" t="s">
        <v>389</v>
      </c>
      <c r="Q23" s="38" t="s">
        <v>390</v>
      </c>
      <c r="R23" s="41" t="s">
        <v>391</v>
      </c>
      <c r="S23" s="30"/>
      <c r="T23" s="36">
        <v>605</v>
      </c>
      <c r="U23" s="29" t="str">
        <f>"405,2895"</f>
        <v>405,2895</v>
      </c>
      <c r="V23" s="29" t="s">
        <v>392</v>
      </c>
    </row>
    <row r="24" spans="1:22" ht="12.75">
      <c r="A24" s="36" t="s">
        <v>562</v>
      </c>
      <c r="B24" s="29" t="s">
        <v>393</v>
      </c>
      <c r="C24" s="29" t="s">
        <v>394</v>
      </c>
      <c r="D24" s="29" t="s">
        <v>395</v>
      </c>
      <c r="E24" s="29" t="str">
        <f>"0,6734"</f>
        <v>0,6734</v>
      </c>
      <c r="F24" s="29" t="s">
        <v>95</v>
      </c>
      <c r="G24" s="29" t="s">
        <v>17</v>
      </c>
      <c r="H24" s="38" t="s">
        <v>396</v>
      </c>
      <c r="I24" s="38" t="s">
        <v>397</v>
      </c>
      <c r="J24" s="38" t="s">
        <v>398</v>
      </c>
      <c r="K24" s="30"/>
      <c r="L24" s="38" t="s">
        <v>153</v>
      </c>
      <c r="M24" s="38" t="s">
        <v>337</v>
      </c>
      <c r="N24" s="38" t="s">
        <v>72</v>
      </c>
      <c r="O24" s="50"/>
      <c r="P24" s="38" t="s">
        <v>399</v>
      </c>
      <c r="Q24" s="38" t="s">
        <v>400</v>
      </c>
      <c r="R24" s="38" t="s">
        <v>401</v>
      </c>
      <c r="S24" s="30"/>
      <c r="T24" s="36">
        <v>742.5</v>
      </c>
      <c r="U24" s="29" t="str">
        <f>"499,9995"</f>
        <v>499,9995</v>
      </c>
      <c r="V24" s="29" t="s">
        <v>97</v>
      </c>
    </row>
    <row r="25" spans="1:22" ht="12.75">
      <c r="A25" s="36" t="s">
        <v>570</v>
      </c>
      <c r="B25" s="29" t="s">
        <v>68</v>
      </c>
      <c r="C25" s="29" t="s">
        <v>69</v>
      </c>
      <c r="D25" s="29" t="s">
        <v>70</v>
      </c>
      <c r="E25" s="29" t="str">
        <f>"0,6876"</f>
        <v>0,6876</v>
      </c>
      <c r="F25" s="29" t="s">
        <v>16</v>
      </c>
      <c r="G25" s="29" t="s">
        <v>71</v>
      </c>
      <c r="H25" s="38" t="s">
        <v>144</v>
      </c>
      <c r="I25" s="41" t="s">
        <v>348</v>
      </c>
      <c r="J25" s="41" t="s">
        <v>348</v>
      </c>
      <c r="K25" s="30"/>
      <c r="L25" s="38" t="s">
        <v>72</v>
      </c>
      <c r="M25" s="41" t="s">
        <v>149</v>
      </c>
      <c r="N25" s="41" t="s">
        <v>149</v>
      </c>
      <c r="O25" s="30"/>
      <c r="P25" s="38" t="s">
        <v>167</v>
      </c>
      <c r="Q25" s="38" t="s">
        <v>143</v>
      </c>
      <c r="R25" s="50"/>
      <c r="S25" s="30"/>
      <c r="T25" s="36">
        <v>635</v>
      </c>
      <c r="U25" s="29" t="str">
        <f>"436,6260"</f>
        <v>436,6260</v>
      </c>
      <c r="V25" s="29" t="s">
        <v>40</v>
      </c>
    </row>
    <row r="26" spans="1:22" ht="12.75">
      <c r="A26" s="36" t="s">
        <v>562</v>
      </c>
      <c r="B26" s="29" t="s">
        <v>402</v>
      </c>
      <c r="C26" s="29" t="s">
        <v>403</v>
      </c>
      <c r="D26" s="29" t="s">
        <v>404</v>
      </c>
      <c r="E26" s="29" t="str">
        <f>"0,6729"</f>
        <v>0,6729</v>
      </c>
      <c r="F26" s="29" t="s">
        <v>95</v>
      </c>
      <c r="G26" s="29" t="s">
        <v>17</v>
      </c>
      <c r="H26" s="41" t="s">
        <v>248</v>
      </c>
      <c r="I26" s="38" t="s">
        <v>248</v>
      </c>
      <c r="J26" s="38" t="s">
        <v>103</v>
      </c>
      <c r="K26" s="30"/>
      <c r="L26" s="41" t="s">
        <v>375</v>
      </c>
      <c r="M26" s="38" t="s">
        <v>375</v>
      </c>
      <c r="N26" s="50" t="s">
        <v>383</v>
      </c>
      <c r="O26" s="30"/>
      <c r="P26" s="38" t="s">
        <v>30</v>
      </c>
      <c r="Q26" s="38" t="s">
        <v>51</v>
      </c>
      <c r="R26" s="38" t="s">
        <v>82</v>
      </c>
      <c r="S26" s="30"/>
      <c r="T26" s="36">
        <v>325</v>
      </c>
      <c r="U26" s="29" t="str">
        <f>"278,3956"</f>
        <v>278,3956</v>
      </c>
      <c r="V26" s="29" t="s">
        <v>97</v>
      </c>
    </row>
    <row r="28" spans="1:21" ht="15.75">
      <c r="A28"/>
      <c r="B28" s="171" t="s">
        <v>85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</row>
    <row r="29" spans="1:22" ht="12.75">
      <c r="A29" s="36" t="s">
        <v>562</v>
      </c>
      <c r="B29" s="29" t="s">
        <v>405</v>
      </c>
      <c r="C29" s="29" t="s">
        <v>406</v>
      </c>
      <c r="D29" s="29" t="s">
        <v>296</v>
      </c>
      <c r="E29" s="29" t="str">
        <f>"0,6440"</f>
        <v>0,6440</v>
      </c>
      <c r="F29" s="29" t="s">
        <v>16</v>
      </c>
      <c r="G29" s="29" t="s">
        <v>17</v>
      </c>
      <c r="H29" s="38" t="s">
        <v>174</v>
      </c>
      <c r="I29" s="41" t="s">
        <v>167</v>
      </c>
      <c r="J29" s="41" t="s">
        <v>167</v>
      </c>
      <c r="K29" s="30"/>
      <c r="L29" s="38" t="s">
        <v>108</v>
      </c>
      <c r="M29" s="38" t="s">
        <v>125</v>
      </c>
      <c r="N29" s="41" t="s">
        <v>136</v>
      </c>
      <c r="O29" s="30"/>
      <c r="P29" s="38" t="s">
        <v>407</v>
      </c>
      <c r="Q29" s="38" t="s">
        <v>408</v>
      </c>
      <c r="R29" s="50"/>
      <c r="S29" s="30"/>
      <c r="T29" s="36">
        <v>660</v>
      </c>
      <c r="U29" s="29" t="str">
        <f>"425,0400"</f>
        <v>425,0400</v>
      </c>
      <c r="V29" s="29" t="s">
        <v>629</v>
      </c>
    </row>
    <row r="30" spans="1:22" ht="12.75">
      <c r="A30" s="36" t="s">
        <v>570</v>
      </c>
      <c r="B30" s="29" t="s">
        <v>409</v>
      </c>
      <c r="C30" s="29" t="s">
        <v>410</v>
      </c>
      <c r="D30" s="29" t="s">
        <v>411</v>
      </c>
      <c r="E30" s="29" t="str">
        <f>"0,6384"</f>
        <v>0,6384</v>
      </c>
      <c r="F30" s="29" t="s">
        <v>16</v>
      </c>
      <c r="G30" s="29" t="s">
        <v>17</v>
      </c>
      <c r="H30" s="38" t="s">
        <v>125</v>
      </c>
      <c r="I30" s="38" t="s">
        <v>174</v>
      </c>
      <c r="J30" s="38" t="s">
        <v>333</v>
      </c>
      <c r="K30" s="30"/>
      <c r="L30" s="38" t="s">
        <v>51</v>
      </c>
      <c r="M30" s="38" t="s">
        <v>282</v>
      </c>
      <c r="N30" s="41" t="s">
        <v>253</v>
      </c>
      <c r="O30" s="30"/>
      <c r="P30" s="38" t="s">
        <v>143</v>
      </c>
      <c r="Q30" s="38" t="s">
        <v>144</v>
      </c>
      <c r="R30" s="38" t="s">
        <v>145</v>
      </c>
      <c r="S30" s="30"/>
      <c r="T30" s="36">
        <v>577.5</v>
      </c>
      <c r="U30" s="29" t="str">
        <f>"368,6760"</f>
        <v>368,6760</v>
      </c>
      <c r="V30" s="29" t="s">
        <v>629</v>
      </c>
    </row>
    <row r="31" spans="1:22" ht="12.75">
      <c r="A31" s="36" t="s">
        <v>572</v>
      </c>
      <c r="B31" s="29" t="s">
        <v>412</v>
      </c>
      <c r="C31" s="29" t="s">
        <v>413</v>
      </c>
      <c r="D31" s="29" t="s">
        <v>414</v>
      </c>
      <c r="E31" s="29" t="str">
        <f>"0,6523"</f>
        <v>0,6523</v>
      </c>
      <c r="F31" s="29" t="s">
        <v>95</v>
      </c>
      <c r="G31" s="29" t="s">
        <v>17</v>
      </c>
      <c r="H31" s="38" t="s">
        <v>174</v>
      </c>
      <c r="I31" s="38" t="s">
        <v>333</v>
      </c>
      <c r="J31" s="38" t="s">
        <v>121</v>
      </c>
      <c r="K31" s="30"/>
      <c r="L31" s="38" t="s">
        <v>51</v>
      </c>
      <c r="M31" s="38" t="s">
        <v>52</v>
      </c>
      <c r="N31" s="38" t="s">
        <v>53</v>
      </c>
      <c r="O31" s="30"/>
      <c r="P31" s="38" t="s">
        <v>125</v>
      </c>
      <c r="Q31" s="38" t="s">
        <v>72</v>
      </c>
      <c r="R31" s="38" t="s">
        <v>415</v>
      </c>
      <c r="S31" s="30"/>
      <c r="T31" s="36">
        <v>570</v>
      </c>
      <c r="U31" s="29" t="str">
        <f>"371,8110"</f>
        <v>371,8110</v>
      </c>
      <c r="V31" s="29" t="s">
        <v>97</v>
      </c>
    </row>
    <row r="32" spans="1:22" ht="12.75">
      <c r="A32" s="36" t="s">
        <v>599</v>
      </c>
      <c r="B32" s="29" t="s">
        <v>416</v>
      </c>
      <c r="C32" s="29" t="s">
        <v>417</v>
      </c>
      <c r="D32" s="29" t="s">
        <v>344</v>
      </c>
      <c r="E32" s="29" t="str">
        <f>"0,6391"</f>
        <v>0,6391</v>
      </c>
      <c r="F32" s="29" t="s">
        <v>418</v>
      </c>
      <c r="G32" s="29" t="s">
        <v>17</v>
      </c>
      <c r="H32" s="38" t="s">
        <v>109</v>
      </c>
      <c r="I32" s="38" t="s">
        <v>174</v>
      </c>
      <c r="J32" s="50"/>
      <c r="K32" s="30"/>
      <c r="L32" s="38" t="s">
        <v>78</v>
      </c>
      <c r="M32" s="38" t="s">
        <v>59</v>
      </c>
      <c r="N32" s="38" t="s">
        <v>108</v>
      </c>
      <c r="O32" s="30"/>
      <c r="P32" s="38" t="s">
        <v>175</v>
      </c>
      <c r="Q32" s="41" t="s">
        <v>167</v>
      </c>
      <c r="R32" s="38" t="s">
        <v>121</v>
      </c>
      <c r="S32" s="30"/>
      <c r="T32" s="36">
        <v>570</v>
      </c>
      <c r="U32" s="29" t="str">
        <f>"364,2870"</f>
        <v>364,2870</v>
      </c>
      <c r="V32" s="29" t="s">
        <v>419</v>
      </c>
    </row>
    <row r="33" spans="1:22" ht="12.75">
      <c r="A33" s="36" t="s">
        <v>600</v>
      </c>
      <c r="B33" s="29" t="s">
        <v>420</v>
      </c>
      <c r="C33" s="29" t="s">
        <v>421</v>
      </c>
      <c r="D33" s="29" t="s">
        <v>113</v>
      </c>
      <c r="E33" s="29" t="str">
        <f>"0,6413"</f>
        <v>0,6413</v>
      </c>
      <c r="F33" s="29" t="s">
        <v>95</v>
      </c>
      <c r="G33" s="29" t="s">
        <v>17</v>
      </c>
      <c r="H33" s="38" t="s">
        <v>109</v>
      </c>
      <c r="I33" s="41" t="s">
        <v>174</v>
      </c>
      <c r="J33" s="38" t="s">
        <v>174</v>
      </c>
      <c r="K33" s="30"/>
      <c r="L33" s="38" t="s">
        <v>31</v>
      </c>
      <c r="M33" s="38" t="s">
        <v>51</v>
      </c>
      <c r="N33" s="41" t="s">
        <v>82</v>
      </c>
      <c r="O33" s="30"/>
      <c r="P33" s="38" t="s">
        <v>143</v>
      </c>
      <c r="Q33" s="38" t="s">
        <v>144</v>
      </c>
      <c r="R33" s="38" t="s">
        <v>422</v>
      </c>
      <c r="S33" s="30"/>
      <c r="T33" s="36">
        <v>557.5</v>
      </c>
      <c r="U33" s="29" t="str">
        <f>"357,5248"</f>
        <v>357,5248</v>
      </c>
      <c r="V33" s="29" t="s">
        <v>97</v>
      </c>
    </row>
    <row r="34" spans="1:22" ht="12.75">
      <c r="A34" s="36" t="s">
        <v>562</v>
      </c>
      <c r="B34" s="29" t="s">
        <v>409</v>
      </c>
      <c r="C34" s="29" t="s">
        <v>423</v>
      </c>
      <c r="D34" s="29" t="s">
        <v>411</v>
      </c>
      <c r="E34" s="29" t="str">
        <f>"0,6384"</f>
        <v>0,6384</v>
      </c>
      <c r="F34" s="29" t="s">
        <v>16</v>
      </c>
      <c r="G34" s="29" t="s">
        <v>17</v>
      </c>
      <c r="H34" s="38" t="s">
        <v>125</v>
      </c>
      <c r="I34" s="38" t="s">
        <v>174</v>
      </c>
      <c r="J34" s="38" t="s">
        <v>333</v>
      </c>
      <c r="K34" s="30"/>
      <c r="L34" s="38" t="s">
        <v>51</v>
      </c>
      <c r="M34" s="38" t="s">
        <v>282</v>
      </c>
      <c r="N34" s="41" t="s">
        <v>253</v>
      </c>
      <c r="O34" s="30"/>
      <c r="P34" s="38" t="s">
        <v>143</v>
      </c>
      <c r="Q34" s="38" t="s">
        <v>144</v>
      </c>
      <c r="R34" s="38" t="s">
        <v>145</v>
      </c>
      <c r="S34" s="30"/>
      <c r="T34" s="36">
        <v>577.5</v>
      </c>
      <c r="U34" s="29" t="str">
        <f>"368,6760"</f>
        <v>368,6760</v>
      </c>
      <c r="V34" s="29" t="s">
        <v>287</v>
      </c>
    </row>
    <row r="36" spans="1:21" ht="15.75">
      <c r="A36"/>
      <c r="B36" s="171" t="s">
        <v>115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</row>
    <row r="37" spans="1:22" ht="12.75">
      <c r="A37" s="36" t="s">
        <v>562</v>
      </c>
      <c r="B37" s="29" t="s">
        <v>635</v>
      </c>
      <c r="C37" s="29" t="s">
        <v>425</v>
      </c>
      <c r="D37" s="29" t="s">
        <v>118</v>
      </c>
      <c r="E37" s="29" t="str">
        <f>"0,6123"</f>
        <v>0,6123</v>
      </c>
      <c r="F37" s="29" t="s">
        <v>114</v>
      </c>
      <c r="G37" s="29" t="s">
        <v>17</v>
      </c>
      <c r="H37" s="41" t="s">
        <v>426</v>
      </c>
      <c r="I37" s="38" t="s">
        <v>426</v>
      </c>
      <c r="J37" s="38" t="s">
        <v>407</v>
      </c>
      <c r="K37" s="30"/>
      <c r="L37" s="38" t="s">
        <v>333</v>
      </c>
      <c r="M37" s="38" t="s">
        <v>415</v>
      </c>
      <c r="N37" s="38" t="s">
        <v>427</v>
      </c>
      <c r="O37" s="30"/>
      <c r="P37" s="38" t="s">
        <v>408</v>
      </c>
      <c r="Q37" s="38" t="s">
        <v>428</v>
      </c>
      <c r="R37" s="41" t="s">
        <v>429</v>
      </c>
      <c r="S37" s="30"/>
      <c r="T37" s="36">
        <v>817.5</v>
      </c>
      <c r="U37" s="29" t="str">
        <f>"500,5552"</f>
        <v>500,5552</v>
      </c>
      <c r="V37" s="29" t="s">
        <v>97</v>
      </c>
    </row>
    <row r="38" spans="1:22" ht="12.75">
      <c r="A38" s="36" t="s">
        <v>570</v>
      </c>
      <c r="B38" s="29" t="s">
        <v>636</v>
      </c>
      <c r="C38" s="29" t="s">
        <v>431</v>
      </c>
      <c r="D38" s="29" t="s">
        <v>432</v>
      </c>
      <c r="E38" s="29" t="str">
        <f>"0,6200"</f>
        <v>0,6200</v>
      </c>
      <c r="F38" s="29" t="s">
        <v>95</v>
      </c>
      <c r="G38" s="29" t="s">
        <v>17</v>
      </c>
      <c r="H38" s="38" t="s">
        <v>348</v>
      </c>
      <c r="I38" s="38" t="s">
        <v>433</v>
      </c>
      <c r="J38" s="38" t="s">
        <v>434</v>
      </c>
      <c r="K38" s="30"/>
      <c r="L38" s="38" t="s">
        <v>108</v>
      </c>
      <c r="M38" s="38" t="s">
        <v>337</v>
      </c>
      <c r="N38" s="38" t="s">
        <v>174</v>
      </c>
      <c r="O38" s="30"/>
      <c r="P38" s="41" t="s">
        <v>433</v>
      </c>
      <c r="Q38" s="38" t="s">
        <v>434</v>
      </c>
      <c r="R38" s="38" t="s">
        <v>400</v>
      </c>
      <c r="S38" s="30"/>
      <c r="T38" s="36">
        <v>750</v>
      </c>
      <c r="U38" s="29" t="str">
        <f>"465,0000"</f>
        <v>465,0000</v>
      </c>
      <c r="V38" s="29" t="s">
        <v>629</v>
      </c>
    </row>
    <row r="39" spans="1:22" ht="12.75">
      <c r="A39" s="36" t="s">
        <v>572</v>
      </c>
      <c r="B39" s="29" t="s">
        <v>637</v>
      </c>
      <c r="C39" s="29" t="s">
        <v>435</v>
      </c>
      <c r="D39" s="29" t="s">
        <v>309</v>
      </c>
      <c r="E39" s="29" t="str">
        <f>"0,6116"</f>
        <v>0,6116</v>
      </c>
      <c r="F39" s="29" t="s">
        <v>95</v>
      </c>
      <c r="G39" s="29" t="s">
        <v>17</v>
      </c>
      <c r="H39" s="38" t="s">
        <v>121</v>
      </c>
      <c r="I39" s="38" t="s">
        <v>389</v>
      </c>
      <c r="J39" s="38" t="s">
        <v>436</v>
      </c>
      <c r="K39" s="30"/>
      <c r="L39" s="38" t="s">
        <v>59</v>
      </c>
      <c r="M39" s="38" t="s">
        <v>125</v>
      </c>
      <c r="N39" s="38" t="s">
        <v>136</v>
      </c>
      <c r="O39" s="30"/>
      <c r="P39" s="38" t="s">
        <v>390</v>
      </c>
      <c r="Q39" s="38" t="s">
        <v>437</v>
      </c>
      <c r="R39" s="38" t="s">
        <v>438</v>
      </c>
      <c r="S39" s="30"/>
      <c r="T39" s="36">
        <v>682.5</v>
      </c>
      <c r="U39" s="29" t="str">
        <f>"417,4170"</f>
        <v>417,4170</v>
      </c>
      <c r="V39" s="29" t="s">
        <v>97</v>
      </c>
    </row>
    <row r="40" spans="1:22" ht="12.75">
      <c r="A40" s="36" t="s">
        <v>599</v>
      </c>
      <c r="B40" s="29" t="s">
        <v>638</v>
      </c>
      <c r="C40" s="29" t="s">
        <v>439</v>
      </c>
      <c r="D40" s="29" t="s">
        <v>440</v>
      </c>
      <c r="E40" s="29" t="str">
        <f>"0,6093"</f>
        <v>0,6093</v>
      </c>
      <c r="F40" s="29" t="s">
        <v>441</v>
      </c>
      <c r="G40" s="29" t="s">
        <v>442</v>
      </c>
      <c r="H40" s="38" t="s">
        <v>143</v>
      </c>
      <c r="I40" s="38" t="s">
        <v>144</v>
      </c>
      <c r="J40" s="41" t="s">
        <v>348</v>
      </c>
      <c r="K40" s="30"/>
      <c r="L40" s="38" t="s">
        <v>282</v>
      </c>
      <c r="M40" s="38" t="s">
        <v>78</v>
      </c>
      <c r="N40" s="41" t="s">
        <v>321</v>
      </c>
      <c r="O40" s="30"/>
      <c r="P40" s="38" t="s">
        <v>437</v>
      </c>
      <c r="Q40" s="38" t="s">
        <v>438</v>
      </c>
      <c r="R40" s="41" t="s">
        <v>400</v>
      </c>
      <c r="S40" s="30"/>
      <c r="T40" s="36">
        <v>655</v>
      </c>
      <c r="U40" s="29" t="str">
        <f>"399,0915"</f>
        <v>399,0915</v>
      </c>
      <c r="V40" s="29" t="s">
        <v>643</v>
      </c>
    </row>
    <row r="41" spans="1:22" ht="12.75">
      <c r="A41" s="36" t="s">
        <v>600</v>
      </c>
      <c r="B41" s="29" t="s">
        <v>639</v>
      </c>
      <c r="C41" s="29" t="s">
        <v>443</v>
      </c>
      <c r="D41" s="29" t="s">
        <v>444</v>
      </c>
      <c r="E41" s="29" t="str">
        <f>"0,6126"</f>
        <v>0,6126</v>
      </c>
      <c r="F41" s="29" t="s">
        <v>95</v>
      </c>
      <c r="G41" s="29" t="s">
        <v>17</v>
      </c>
      <c r="H41" s="38" t="s">
        <v>109</v>
      </c>
      <c r="I41" s="38" t="s">
        <v>149</v>
      </c>
      <c r="J41" s="38" t="s">
        <v>175</v>
      </c>
      <c r="K41" s="30"/>
      <c r="L41" s="38" t="s">
        <v>30</v>
      </c>
      <c r="M41" s="38" t="s">
        <v>89</v>
      </c>
      <c r="N41" s="41" t="s">
        <v>258</v>
      </c>
      <c r="O41" s="30"/>
      <c r="P41" s="38" t="s">
        <v>391</v>
      </c>
      <c r="Q41" s="41" t="s">
        <v>426</v>
      </c>
      <c r="R41" s="41" t="s">
        <v>399</v>
      </c>
      <c r="S41" s="30"/>
      <c r="T41" s="36">
        <v>575</v>
      </c>
      <c r="U41" s="29" t="str">
        <f>"352,2450"</f>
        <v>352,2450</v>
      </c>
      <c r="V41" s="29" t="s">
        <v>97</v>
      </c>
    </row>
    <row r="42" ht="12.75">
      <c r="I42" s="42"/>
    </row>
    <row r="43" spans="1:21" ht="15.75">
      <c r="A43"/>
      <c r="B43" s="171" t="s">
        <v>138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</row>
    <row r="44" spans="1:22" ht="12.75">
      <c r="A44" s="36" t="s">
        <v>562</v>
      </c>
      <c r="B44" s="29" t="s">
        <v>641</v>
      </c>
      <c r="C44" s="29" t="s">
        <v>445</v>
      </c>
      <c r="D44" s="29" t="s">
        <v>446</v>
      </c>
      <c r="E44" s="29" t="str">
        <f>"0,5895"</f>
        <v>0,5895</v>
      </c>
      <c r="F44" s="29" t="s">
        <v>114</v>
      </c>
      <c r="G44" s="29" t="s">
        <v>17</v>
      </c>
      <c r="H44" s="38" t="s">
        <v>390</v>
      </c>
      <c r="I44" s="38" t="s">
        <v>437</v>
      </c>
      <c r="J44" s="41" t="s">
        <v>447</v>
      </c>
      <c r="K44" s="30"/>
      <c r="L44" s="38" t="s">
        <v>72</v>
      </c>
      <c r="M44" s="38" t="s">
        <v>119</v>
      </c>
      <c r="N44" s="38" t="s">
        <v>175</v>
      </c>
      <c r="O44" s="30"/>
      <c r="P44" s="38" t="s">
        <v>390</v>
      </c>
      <c r="Q44" s="38" t="s">
        <v>448</v>
      </c>
      <c r="R44" s="41" t="s">
        <v>434</v>
      </c>
      <c r="S44" s="30"/>
      <c r="T44" s="36">
        <v>722.5</v>
      </c>
      <c r="U44" s="29" t="str">
        <f>"425,9138"</f>
        <v>425,9138</v>
      </c>
      <c r="V44" s="29" t="s">
        <v>97</v>
      </c>
    </row>
    <row r="45" spans="1:22" ht="12.75">
      <c r="A45" s="36" t="s">
        <v>570</v>
      </c>
      <c r="B45" s="29" t="s">
        <v>449</v>
      </c>
      <c r="C45" s="29" t="s">
        <v>450</v>
      </c>
      <c r="D45" s="29" t="s">
        <v>451</v>
      </c>
      <c r="E45" s="29" t="str">
        <f>"0,5900"</f>
        <v>0,5900</v>
      </c>
      <c r="F45" s="29" t="s">
        <v>16</v>
      </c>
      <c r="G45" s="29" t="s">
        <v>17</v>
      </c>
      <c r="H45" s="41" t="s">
        <v>143</v>
      </c>
      <c r="I45" s="38" t="s">
        <v>143</v>
      </c>
      <c r="J45" s="41" t="s">
        <v>144</v>
      </c>
      <c r="K45" s="30"/>
      <c r="L45" s="38" t="s">
        <v>78</v>
      </c>
      <c r="M45" s="38" t="s">
        <v>59</v>
      </c>
      <c r="N45" s="38" t="s">
        <v>125</v>
      </c>
      <c r="O45" s="30"/>
      <c r="P45" s="38" t="s">
        <v>143</v>
      </c>
      <c r="Q45" s="38" t="s">
        <v>144</v>
      </c>
      <c r="R45" s="38" t="s">
        <v>348</v>
      </c>
      <c r="S45" s="30"/>
      <c r="T45" s="36">
        <v>630</v>
      </c>
      <c r="U45" s="29" t="str">
        <f>"371,7000"</f>
        <v>371,7000</v>
      </c>
      <c r="V45" s="29" t="s">
        <v>40</v>
      </c>
    </row>
    <row r="46" spans="1:22" ht="12.75">
      <c r="A46" s="36" t="s">
        <v>572</v>
      </c>
      <c r="B46" s="29" t="s">
        <v>151</v>
      </c>
      <c r="C46" s="29" t="s">
        <v>152</v>
      </c>
      <c r="D46" s="29" t="s">
        <v>148</v>
      </c>
      <c r="E46" s="29" t="str">
        <f>"0,5935"</f>
        <v>0,5935</v>
      </c>
      <c r="F46" s="29" t="s">
        <v>16</v>
      </c>
      <c r="G46" s="29" t="s">
        <v>17</v>
      </c>
      <c r="H46" s="41" t="s">
        <v>175</v>
      </c>
      <c r="I46" s="38" t="s">
        <v>175</v>
      </c>
      <c r="J46" s="38" t="s">
        <v>120</v>
      </c>
      <c r="K46" s="30"/>
      <c r="L46" s="38" t="s">
        <v>153</v>
      </c>
      <c r="M46" s="38" t="s">
        <v>130</v>
      </c>
      <c r="N46" s="41" t="s">
        <v>109</v>
      </c>
      <c r="O46" s="30"/>
      <c r="P46" s="38" t="s">
        <v>143</v>
      </c>
      <c r="Q46" s="38" t="s">
        <v>145</v>
      </c>
      <c r="R46" s="41" t="s">
        <v>398</v>
      </c>
      <c r="S46" s="30"/>
      <c r="T46" s="36">
        <v>612.5</v>
      </c>
      <c r="U46" s="29" t="str">
        <f>"363,5188"</f>
        <v>363,5188</v>
      </c>
      <c r="V46" s="29" t="s">
        <v>40</v>
      </c>
    </row>
    <row r="47" spans="1:22" ht="12.75">
      <c r="A47" s="36" t="s">
        <v>599</v>
      </c>
      <c r="B47" s="29" t="s">
        <v>640</v>
      </c>
      <c r="C47" s="29" t="s">
        <v>452</v>
      </c>
      <c r="D47" s="29" t="s">
        <v>451</v>
      </c>
      <c r="E47" s="29" t="str">
        <f>"0,5900"</f>
        <v>0,5900</v>
      </c>
      <c r="F47" s="29" t="s">
        <v>16</v>
      </c>
      <c r="G47" s="29" t="s">
        <v>17</v>
      </c>
      <c r="H47" s="41" t="s">
        <v>143</v>
      </c>
      <c r="I47" s="38" t="s">
        <v>143</v>
      </c>
      <c r="J47" s="41" t="s">
        <v>144</v>
      </c>
      <c r="K47" s="30"/>
      <c r="L47" s="38" t="s">
        <v>78</v>
      </c>
      <c r="M47" s="38" t="s">
        <v>59</v>
      </c>
      <c r="N47" s="38" t="s">
        <v>125</v>
      </c>
      <c r="O47" s="30"/>
      <c r="P47" s="38" t="s">
        <v>143</v>
      </c>
      <c r="Q47" s="38" t="s">
        <v>144</v>
      </c>
      <c r="R47" s="38" t="s">
        <v>348</v>
      </c>
      <c r="S47" s="30"/>
      <c r="T47" s="36">
        <v>630</v>
      </c>
      <c r="U47" s="29" t="str">
        <f>"371,7000"</f>
        <v>371,7000</v>
      </c>
      <c r="V47" s="29" t="s">
        <v>40</v>
      </c>
    </row>
    <row r="49" spans="1:21" ht="15.75">
      <c r="A49"/>
      <c r="B49" s="171" t="s">
        <v>163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</row>
    <row r="50" spans="1:22" ht="12.75">
      <c r="A50" s="36" t="s">
        <v>562</v>
      </c>
      <c r="B50" s="29" t="s">
        <v>642</v>
      </c>
      <c r="C50" s="29" t="s">
        <v>453</v>
      </c>
      <c r="D50" s="29" t="s">
        <v>454</v>
      </c>
      <c r="E50" s="29" t="str">
        <f>"0,5755"</f>
        <v>0,5755</v>
      </c>
      <c r="F50" s="29" t="s">
        <v>16</v>
      </c>
      <c r="G50" s="29" t="s">
        <v>17</v>
      </c>
      <c r="H50" s="38" t="s">
        <v>167</v>
      </c>
      <c r="I50" s="38" t="s">
        <v>168</v>
      </c>
      <c r="J50" s="41" t="s">
        <v>436</v>
      </c>
      <c r="K50" s="30"/>
      <c r="L50" s="38" t="s">
        <v>125</v>
      </c>
      <c r="M50" s="38" t="s">
        <v>109</v>
      </c>
      <c r="N50" s="41" t="s">
        <v>174</v>
      </c>
      <c r="O50" s="30"/>
      <c r="P50" s="38" t="s">
        <v>391</v>
      </c>
      <c r="Q50" s="38" t="s">
        <v>434</v>
      </c>
      <c r="R50" s="41" t="s">
        <v>407</v>
      </c>
      <c r="S50" s="30"/>
      <c r="T50" s="36">
        <v>675</v>
      </c>
      <c r="U50" s="29" t="str">
        <f>"388,4625"</f>
        <v>388,4625</v>
      </c>
      <c r="V50" s="29" t="s">
        <v>23</v>
      </c>
    </row>
    <row r="52" spans="1:21" ht="15.75">
      <c r="A52"/>
      <c r="B52" s="171" t="s">
        <v>178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</row>
    <row r="53" spans="1:22" ht="12.75">
      <c r="A53" s="36"/>
      <c r="B53" s="29" t="s">
        <v>455</v>
      </c>
      <c r="C53" s="29" t="s">
        <v>456</v>
      </c>
      <c r="D53" s="29" t="s">
        <v>457</v>
      </c>
      <c r="E53" s="29" t="str">
        <f>"0,5558"</f>
        <v>0,5558</v>
      </c>
      <c r="F53" s="29" t="s">
        <v>16</v>
      </c>
      <c r="G53" s="29" t="s">
        <v>17</v>
      </c>
      <c r="H53" s="41" t="s">
        <v>175</v>
      </c>
      <c r="I53" s="41" t="s">
        <v>175</v>
      </c>
      <c r="J53" s="41" t="s">
        <v>175</v>
      </c>
      <c r="K53" s="41"/>
      <c r="L53" s="41" t="s">
        <v>108</v>
      </c>
      <c r="M53" s="41"/>
      <c r="N53" s="41"/>
      <c r="O53" s="41"/>
      <c r="P53" s="41" t="s">
        <v>390</v>
      </c>
      <c r="Q53" s="30"/>
      <c r="R53" s="30"/>
      <c r="S53" s="30"/>
      <c r="T53" s="36">
        <v>0</v>
      </c>
      <c r="U53" s="29" t="str">
        <f>"0,0000"</f>
        <v>0,0000</v>
      </c>
      <c r="V53" s="29" t="s">
        <v>40</v>
      </c>
    </row>
    <row r="56" spans="2:3" ht="18">
      <c r="B56" s="31" t="s">
        <v>183</v>
      </c>
      <c r="C56" s="31"/>
    </row>
    <row r="57" spans="2:3" ht="15.75">
      <c r="B57" s="32" t="s">
        <v>184</v>
      </c>
      <c r="C57" s="32"/>
    </row>
    <row r="58" spans="2:3" ht="13.5">
      <c r="B58" s="76" t="s">
        <v>192</v>
      </c>
      <c r="C58" s="34"/>
    </row>
    <row r="59" spans="2:6" ht="13.5">
      <c r="B59" s="35" t="s">
        <v>186</v>
      </c>
      <c r="C59" s="35" t="s">
        <v>187</v>
      </c>
      <c r="D59" s="35" t="s">
        <v>188</v>
      </c>
      <c r="E59" s="35" t="s">
        <v>189</v>
      </c>
      <c r="F59" s="35" t="s">
        <v>190</v>
      </c>
    </row>
    <row r="60" spans="1:6" ht="12.75">
      <c r="A60" s="37" t="s">
        <v>562</v>
      </c>
      <c r="B60" s="33" t="s">
        <v>354</v>
      </c>
      <c r="C60" s="77" t="s">
        <v>192</v>
      </c>
      <c r="D60" s="77" t="s">
        <v>339</v>
      </c>
      <c r="E60" s="77" t="s">
        <v>458</v>
      </c>
      <c r="F60" s="37" t="s">
        <v>459</v>
      </c>
    </row>
    <row r="61" spans="1:6" ht="12.75">
      <c r="A61" s="37" t="s">
        <v>570</v>
      </c>
      <c r="B61" s="33" t="s">
        <v>373</v>
      </c>
      <c r="C61" s="77" t="s">
        <v>192</v>
      </c>
      <c r="D61" s="77" t="s">
        <v>194</v>
      </c>
      <c r="E61" s="77" t="s">
        <v>460</v>
      </c>
      <c r="F61" s="37" t="s">
        <v>461</v>
      </c>
    </row>
    <row r="62" spans="1:6" ht="12.75">
      <c r="A62" s="37" t="s">
        <v>572</v>
      </c>
      <c r="B62" s="33" t="s">
        <v>381</v>
      </c>
      <c r="C62" s="77" t="s">
        <v>192</v>
      </c>
      <c r="D62" s="77" t="s">
        <v>193</v>
      </c>
      <c r="E62" s="77" t="s">
        <v>462</v>
      </c>
      <c r="F62" s="37" t="s">
        <v>463</v>
      </c>
    </row>
    <row r="63" spans="3:6" ht="12.75">
      <c r="C63" s="77"/>
      <c r="D63" s="77"/>
      <c r="E63" s="77"/>
      <c r="F63" s="77"/>
    </row>
    <row r="64" spans="2:6" ht="15.75">
      <c r="B64" s="32" t="s">
        <v>195</v>
      </c>
      <c r="C64" s="70"/>
      <c r="D64" s="77"/>
      <c r="E64" s="77"/>
      <c r="F64" s="77"/>
    </row>
    <row r="65" spans="2:6" ht="13.5">
      <c r="B65" s="76" t="s">
        <v>192</v>
      </c>
      <c r="C65" s="78"/>
      <c r="D65" s="77"/>
      <c r="E65" s="77"/>
      <c r="F65" s="77"/>
    </row>
    <row r="66" spans="2:6" ht="13.5">
      <c r="B66" s="35" t="s">
        <v>186</v>
      </c>
      <c r="C66" s="35" t="s">
        <v>187</v>
      </c>
      <c r="D66" s="35" t="s">
        <v>188</v>
      </c>
      <c r="E66" s="35" t="s">
        <v>189</v>
      </c>
      <c r="F66" s="35" t="s">
        <v>190</v>
      </c>
    </row>
    <row r="67" spans="1:6" ht="12.75">
      <c r="A67" s="37" t="s">
        <v>562</v>
      </c>
      <c r="B67" s="33" t="s">
        <v>424</v>
      </c>
      <c r="C67" s="77" t="s">
        <v>192</v>
      </c>
      <c r="D67" s="77" t="s">
        <v>198</v>
      </c>
      <c r="E67" s="77" t="s">
        <v>464</v>
      </c>
      <c r="F67" s="37" t="s">
        <v>465</v>
      </c>
    </row>
    <row r="68" spans="1:6" ht="12.75">
      <c r="A68" s="37" t="s">
        <v>570</v>
      </c>
      <c r="B68" s="33" t="s">
        <v>393</v>
      </c>
      <c r="C68" s="77" t="s">
        <v>192</v>
      </c>
      <c r="D68" s="77" t="s">
        <v>201</v>
      </c>
      <c r="E68" s="77" t="s">
        <v>466</v>
      </c>
      <c r="F68" s="37" t="s">
        <v>467</v>
      </c>
    </row>
    <row r="69" spans="1:6" ht="12.75">
      <c r="A69" s="37" t="s">
        <v>572</v>
      </c>
      <c r="B69" s="33" t="s">
        <v>430</v>
      </c>
      <c r="C69" s="77" t="s">
        <v>192</v>
      </c>
      <c r="D69" s="77" t="s">
        <v>198</v>
      </c>
      <c r="E69" s="77" t="s">
        <v>468</v>
      </c>
      <c r="F69" s="37" t="s">
        <v>469</v>
      </c>
    </row>
  </sheetData>
  <sheetProtection/>
  <mergeCells count="25">
    <mergeCell ref="P3:S3"/>
    <mergeCell ref="U3:U4"/>
    <mergeCell ref="V3:V4"/>
    <mergeCell ref="B5:U5"/>
    <mergeCell ref="B8:U8"/>
    <mergeCell ref="B12:U12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B49:U49"/>
    <mergeCell ref="B52:U52"/>
    <mergeCell ref="A3:A4"/>
    <mergeCell ref="B16:U16"/>
    <mergeCell ref="B19:U19"/>
    <mergeCell ref="B22:U22"/>
    <mergeCell ref="B28:U28"/>
    <mergeCell ref="B36:U36"/>
    <mergeCell ref="B43:U43"/>
    <mergeCell ref="T3:T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G24" sqref="G24"/>
    </sheetView>
  </sheetViews>
  <sheetFormatPr defaultColWidth="11.00390625" defaultRowHeight="12.75"/>
  <sheetData>
    <row r="1" spans="1:13" ht="115.5" customHeight="1">
      <c r="A1" s="184" t="s">
        <v>904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6"/>
    </row>
    <row r="2" spans="1:13" ht="30" thickBot="1">
      <c r="A2" s="196" t="s">
        <v>905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</row>
    <row r="4" spans="1:13" ht="15.75">
      <c r="A4" s="131" t="s">
        <v>906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15.75">
      <c r="A5" s="131" t="s">
        <v>902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3" ht="15.75">
      <c r="A6" s="131" t="s">
        <v>903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3" ht="15.75">
      <c r="A7" s="131" t="s">
        <v>907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5.75">
      <c r="A8" s="131" t="s">
        <v>908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9" spans="1:13" ht="15.75">
      <c r="A9" s="131" t="s">
        <v>909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5.7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C16" sqref="C16"/>
    </sheetView>
  </sheetViews>
  <sheetFormatPr defaultColWidth="11.00390625" defaultRowHeight="12.75"/>
  <cols>
    <col min="3" max="3" width="21.125" style="0" customWidth="1"/>
  </cols>
  <sheetData>
    <row r="1" spans="1:13" ht="87" customHeight="1">
      <c r="A1" s="184" t="s">
        <v>910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6"/>
    </row>
    <row r="2" spans="1:13" ht="30" thickBot="1">
      <c r="A2" s="196" t="s">
        <v>905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</row>
    <row r="5" spans="1:4" ht="12.75">
      <c r="A5" t="s">
        <v>911</v>
      </c>
      <c r="D5">
        <v>32</v>
      </c>
    </row>
    <row r="6" spans="1:4" ht="12.75">
      <c r="A6" t="s">
        <v>912</v>
      </c>
      <c r="D6">
        <v>31</v>
      </c>
    </row>
    <row r="7" spans="1:4" ht="12.75">
      <c r="A7" t="s">
        <v>913</v>
      </c>
      <c r="D7">
        <v>26</v>
      </c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H39" sqref="H39"/>
    </sheetView>
  </sheetViews>
  <sheetFormatPr defaultColWidth="11.00390625" defaultRowHeight="12.75"/>
  <cols>
    <col min="1" max="1" width="7.25390625" style="0" customWidth="1"/>
    <col min="2" max="2" width="17.875" style="0" customWidth="1"/>
    <col min="3" max="3" width="23.375" style="0" customWidth="1"/>
    <col min="4" max="4" width="11.75390625" style="0" customWidth="1"/>
    <col min="5" max="5" width="14.125" style="0" customWidth="1"/>
    <col min="6" max="6" width="15.125" style="0" customWidth="1"/>
    <col min="7" max="7" width="12.00390625" style="0" customWidth="1"/>
    <col min="8" max="8" width="20.375" style="0" customWidth="1"/>
  </cols>
  <sheetData>
    <row r="1" spans="1:8" ht="51.75" customHeight="1">
      <c r="A1" s="142"/>
      <c r="B1" s="143" t="s">
        <v>847</v>
      </c>
      <c r="C1" s="143"/>
      <c r="D1" s="143"/>
      <c r="E1" s="143"/>
      <c r="F1" s="143"/>
      <c r="G1" s="143"/>
      <c r="H1" s="143"/>
    </row>
    <row r="2" spans="1:8" ht="28.5" hidden="1">
      <c r="A2" s="142"/>
      <c r="B2" s="143"/>
      <c r="C2" s="143"/>
      <c r="D2" s="143"/>
      <c r="E2" s="143"/>
      <c r="F2" s="143"/>
      <c r="G2" s="143"/>
      <c r="H2" s="143"/>
    </row>
    <row r="3" spans="1:8" ht="30" thickBot="1">
      <c r="A3" s="77"/>
      <c r="B3" s="144" t="s">
        <v>690</v>
      </c>
      <c r="C3" s="144"/>
      <c r="D3" s="144"/>
      <c r="E3" s="144"/>
      <c r="F3" s="144"/>
      <c r="G3" s="144"/>
      <c r="H3" s="144"/>
    </row>
    <row r="4" spans="1:8" ht="13.5">
      <c r="A4" s="145" t="s">
        <v>561</v>
      </c>
      <c r="B4" s="147" t="s">
        <v>0</v>
      </c>
      <c r="C4" s="82" t="s">
        <v>691</v>
      </c>
      <c r="D4" s="149" t="s">
        <v>10</v>
      </c>
      <c r="E4" s="147" t="s">
        <v>7</v>
      </c>
      <c r="F4" s="147" t="s">
        <v>583</v>
      </c>
      <c r="G4" s="147" t="s">
        <v>567</v>
      </c>
      <c r="H4" s="153" t="s">
        <v>5</v>
      </c>
    </row>
    <row r="5" spans="1:8" ht="15" thickBot="1">
      <c r="A5" s="146"/>
      <c r="B5" s="148"/>
      <c r="C5" s="83" t="s">
        <v>692</v>
      </c>
      <c r="D5" s="150"/>
      <c r="E5" s="148"/>
      <c r="F5" s="148"/>
      <c r="G5" s="148"/>
      <c r="H5" s="154"/>
    </row>
    <row r="6" spans="1:8" ht="15.75">
      <c r="A6" s="77"/>
      <c r="B6" s="156" t="s">
        <v>85</v>
      </c>
      <c r="C6" s="156"/>
      <c r="D6" s="156"/>
      <c r="E6" s="156"/>
      <c r="F6" s="156"/>
      <c r="G6" s="156"/>
      <c r="H6" s="85"/>
    </row>
    <row r="7" spans="1:8" ht="12.75">
      <c r="A7" s="47" t="s">
        <v>562</v>
      </c>
      <c r="B7" s="111" t="s">
        <v>848</v>
      </c>
      <c r="C7" s="112" t="s">
        <v>849</v>
      </c>
      <c r="D7" s="113" t="s">
        <v>229</v>
      </c>
      <c r="E7" s="111" t="s">
        <v>16</v>
      </c>
      <c r="F7" s="111" t="s">
        <v>71</v>
      </c>
      <c r="G7" s="104" t="s">
        <v>850</v>
      </c>
      <c r="H7" s="111" t="s">
        <v>40</v>
      </c>
    </row>
    <row r="8" spans="1:8" ht="12.75">
      <c r="A8" s="36" t="s">
        <v>562</v>
      </c>
      <c r="B8" s="86" t="s">
        <v>851</v>
      </c>
      <c r="C8" s="87" t="s">
        <v>852</v>
      </c>
      <c r="D8" s="88" t="s">
        <v>853</v>
      </c>
      <c r="E8" s="86" t="s">
        <v>16</v>
      </c>
      <c r="F8" s="86" t="s">
        <v>17</v>
      </c>
      <c r="G8" s="93" t="s">
        <v>854</v>
      </c>
      <c r="H8" s="86" t="s">
        <v>855</v>
      </c>
    </row>
    <row r="9" spans="1:8" ht="12.75">
      <c r="A9" s="48" t="s">
        <v>570</v>
      </c>
      <c r="B9" s="114" t="s">
        <v>856</v>
      </c>
      <c r="C9" s="115" t="s">
        <v>857</v>
      </c>
      <c r="D9" s="116" t="s">
        <v>858</v>
      </c>
      <c r="E9" s="114" t="s">
        <v>16</v>
      </c>
      <c r="F9" s="114" t="s">
        <v>17</v>
      </c>
      <c r="G9" s="109" t="s">
        <v>850</v>
      </c>
      <c r="H9" s="114" t="s">
        <v>287</v>
      </c>
    </row>
    <row r="10" spans="1:8" ht="12.75">
      <c r="A10" s="37"/>
      <c r="B10" s="85"/>
      <c r="C10" s="77"/>
      <c r="D10" s="94"/>
      <c r="E10" s="85"/>
      <c r="F10" s="85"/>
      <c r="G10" s="37"/>
      <c r="H10" s="85"/>
    </row>
    <row r="11" spans="1:8" ht="15.75">
      <c r="A11" s="77"/>
      <c r="B11" s="156" t="s">
        <v>115</v>
      </c>
      <c r="C11" s="156"/>
      <c r="D11" s="156"/>
      <c r="E11" s="156"/>
      <c r="F11" s="156"/>
      <c r="G11" s="156"/>
      <c r="H11" s="85"/>
    </row>
    <row r="12" spans="1:8" ht="12.75">
      <c r="A12" s="36" t="s">
        <v>562</v>
      </c>
      <c r="B12" s="86" t="s">
        <v>783</v>
      </c>
      <c r="C12" s="87" t="s">
        <v>308</v>
      </c>
      <c r="D12" s="88" t="s">
        <v>309</v>
      </c>
      <c r="E12" s="86" t="s">
        <v>310</v>
      </c>
      <c r="F12" s="86" t="s">
        <v>17</v>
      </c>
      <c r="G12" s="93" t="s">
        <v>859</v>
      </c>
      <c r="H12" s="86" t="s">
        <v>311</v>
      </c>
    </row>
    <row r="13" spans="1:8" ht="12.75">
      <c r="A13" s="37"/>
      <c r="B13" s="85"/>
      <c r="C13" s="77"/>
      <c r="D13" s="94"/>
      <c r="E13" s="85"/>
      <c r="F13" s="85"/>
      <c r="G13" s="37"/>
      <c r="H13" s="85"/>
    </row>
    <row r="14" spans="1:8" ht="12.75">
      <c r="A14" s="37"/>
      <c r="B14" s="85"/>
      <c r="C14" s="77"/>
      <c r="D14" s="94"/>
      <c r="E14" s="85"/>
      <c r="F14" s="85"/>
      <c r="G14" s="37"/>
      <c r="H14" s="85"/>
    </row>
    <row r="15" spans="1:8" ht="12.75">
      <c r="A15" s="37"/>
      <c r="B15" s="85"/>
      <c r="C15" s="77"/>
      <c r="D15" s="94"/>
      <c r="E15" s="85"/>
      <c r="F15" s="85"/>
      <c r="G15" s="37"/>
      <c r="H15" s="85"/>
    </row>
    <row r="16" spans="1:8" ht="12.75">
      <c r="A16" s="37"/>
      <c r="B16" s="85"/>
      <c r="C16" s="77"/>
      <c r="D16" s="94"/>
      <c r="E16" s="85"/>
      <c r="F16" s="85"/>
      <c r="G16" s="37"/>
      <c r="H16" s="85"/>
    </row>
    <row r="17" spans="1:8" ht="12.75">
      <c r="A17" s="37"/>
      <c r="B17" s="85"/>
      <c r="C17" s="77"/>
      <c r="D17" s="94"/>
      <c r="E17" s="85"/>
      <c r="F17" s="85"/>
      <c r="G17" s="37"/>
      <c r="H17" s="85"/>
    </row>
    <row r="18" spans="1:8" ht="12.75">
      <c r="A18" s="37"/>
      <c r="B18" s="85"/>
      <c r="C18" s="77"/>
      <c r="D18" s="94"/>
      <c r="E18" s="85"/>
      <c r="F18" s="85"/>
      <c r="G18" s="37"/>
      <c r="H18" s="85"/>
    </row>
    <row r="19" spans="1:8" ht="12.75">
      <c r="A19" s="37"/>
      <c r="B19" s="85"/>
      <c r="C19" s="77"/>
      <c r="D19" s="94"/>
      <c r="E19" s="85"/>
      <c r="F19" s="85"/>
      <c r="G19" s="37"/>
      <c r="H19" s="85"/>
    </row>
    <row r="20" spans="1:8" ht="12.75">
      <c r="A20" s="37"/>
      <c r="B20" s="85"/>
      <c r="C20" s="77"/>
      <c r="D20" s="94"/>
      <c r="E20" s="85"/>
      <c r="F20" s="85"/>
      <c r="G20" s="37"/>
      <c r="H20" s="85"/>
    </row>
    <row r="21" spans="1:8" ht="12.75">
      <c r="A21" s="37"/>
      <c r="B21" s="85"/>
      <c r="C21" s="77"/>
      <c r="D21" s="94"/>
      <c r="E21" s="85"/>
      <c r="F21" s="85"/>
      <c r="G21" s="37"/>
      <c r="H21" s="85"/>
    </row>
    <row r="22" spans="1:8" ht="12.75">
      <c r="A22" s="37"/>
      <c r="B22" s="85"/>
      <c r="C22" s="77"/>
      <c r="D22" s="94"/>
      <c r="E22" s="85"/>
      <c r="F22" s="85"/>
      <c r="G22" s="37"/>
      <c r="H22" s="85"/>
    </row>
    <row r="23" spans="1:8" ht="12.75">
      <c r="A23" s="37"/>
      <c r="B23" s="85"/>
      <c r="C23" s="77"/>
      <c r="D23" s="94"/>
      <c r="E23" s="85"/>
      <c r="F23" s="85"/>
      <c r="G23" s="37"/>
      <c r="H23" s="85"/>
    </row>
    <row r="24" spans="1:8" ht="12.75">
      <c r="A24" s="37"/>
      <c r="B24" s="85"/>
      <c r="C24" s="77"/>
      <c r="D24" s="94"/>
      <c r="E24" s="85"/>
      <c r="F24" s="85"/>
      <c r="G24" s="37"/>
      <c r="H24" s="85"/>
    </row>
    <row r="25" spans="1:8" ht="12.75">
      <c r="A25" s="37"/>
      <c r="B25" s="85"/>
      <c r="C25" s="77"/>
      <c r="D25" s="94"/>
      <c r="E25" s="85"/>
      <c r="F25" s="85"/>
      <c r="G25" s="37"/>
      <c r="H25" s="85"/>
    </row>
    <row r="26" spans="1:8" ht="12.75">
      <c r="A26" s="37"/>
      <c r="B26" s="85"/>
      <c r="C26" s="77"/>
      <c r="D26" s="94"/>
      <c r="E26" s="85"/>
      <c r="F26" s="85"/>
      <c r="G26" s="37"/>
      <c r="H26" s="85"/>
    </row>
    <row r="27" spans="1:8" ht="12.75">
      <c r="A27" s="37"/>
      <c r="B27" s="85"/>
      <c r="C27" s="77"/>
      <c r="D27" s="94"/>
      <c r="E27" s="85"/>
      <c r="F27" s="85"/>
      <c r="G27" s="37"/>
      <c r="H27" s="85"/>
    </row>
    <row r="28" spans="1:8" ht="12.75">
      <c r="A28" s="37"/>
      <c r="B28" s="85"/>
      <c r="C28" s="77"/>
      <c r="D28" s="94"/>
      <c r="E28" s="85"/>
      <c r="F28" s="85"/>
      <c r="G28" s="37"/>
      <c r="H28" s="85"/>
    </row>
  </sheetData>
  <sheetProtection/>
  <mergeCells count="13">
    <mergeCell ref="E4:E5"/>
    <mergeCell ref="F4:F5"/>
    <mergeCell ref="G4:G5"/>
    <mergeCell ref="H4:H5"/>
    <mergeCell ref="B6:G6"/>
    <mergeCell ref="B11:G11"/>
    <mergeCell ref="A1:A2"/>
    <mergeCell ref="B1:H1"/>
    <mergeCell ref="B2:H2"/>
    <mergeCell ref="B3:H3"/>
    <mergeCell ref="A4:A5"/>
    <mergeCell ref="B4:B5"/>
    <mergeCell ref="D4:D5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1">
      <selection activeCell="C44" sqref="C44"/>
    </sheetView>
  </sheetViews>
  <sheetFormatPr defaultColWidth="11.00390625" defaultRowHeight="12.75"/>
  <cols>
    <col min="1" max="1" width="7.00390625" style="0" customWidth="1"/>
    <col min="2" max="2" width="17.125" style="0" customWidth="1"/>
    <col min="3" max="3" width="23.75390625" style="0" customWidth="1"/>
    <col min="6" max="6" width="23.375" style="0" customWidth="1"/>
    <col min="7" max="7" width="24.00390625" style="0" customWidth="1"/>
    <col min="8" max="8" width="6.875" style="0" customWidth="1"/>
    <col min="9" max="9" width="6.375" style="0" customWidth="1"/>
    <col min="10" max="10" width="6.00390625" style="0" customWidth="1"/>
    <col min="11" max="11" width="7.00390625" style="0" customWidth="1"/>
    <col min="12" max="12" width="6.125" style="0" customWidth="1"/>
    <col min="13" max="13" width="6.375" style="0" customWidth="1"/>
    <col min="14" max="14" width="6.00390625" style="0" customWidth="1"/>
    <col min="15" max="15" width="6.75390625" style="0" customWidth="1"/>
    <col min="18" max="18" width="18.125" style="0" customWidth="1"/>
  </cols>
  <sheetData>
    <row r="1" spans="1:18" ht="28.5" customHeight="1">
      <c r="A1" s="142"/>
      <c r="B1" s="143" t="s">
        <v>706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28.5" hidden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30" thickBot="1">
      <c r="A3" s="77"/>
      <c r="B3" s="144" t="s">
        <v>690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ht="13.5">
      <c r="A4" s="145" t="s">
        <v>561</v>
      </c>
      <c r="B4" s="147" t="s">
        <v>0</v>
      </c>
      <c r="C4" s="82" t="s">
        <v>691</v>
      </c>
      <c r="D4" s="149" t="s">
        <v>10</v>
      </c>
      <c r="E4" s="147" t="s">
        <v>693</v>
      </c>
      <c r="F4" s="147" t="s">
        <v>7</v>
      </c>
      <c r="G4" s="147" t="s">
        <v>583</v>
      </c>
      <c r="H4" s="157" t="s">
        <v>694</v>
      </c>
      <c r="I4" s="158"/>
      <c r="J4" s="158"/>
      <c r="K4" s="159"/>
      <c r="L4" s="157" t="s">
        <v>695</v>
      </c>
      <c r="M4" s="158"/>
      <c r="N4" s="158"/>
      <c r="O4" s="159"/>
      <c r="P4" s="147" t="s">
        <v>4</v>
      </c>
      <c r="Q4" s="147" t="s">
        <v>6</v>
      </c>
      <c r="R4" s="153" t="s">
        <v>5</v>
      </c>
    </row>
    <row r="5" spans="1:18" ht="15" thickBot="1">
      <c r="A5" s="146"/>
      <c r="B5" s="148"/>
      <c r="C5" s="83" t="s">
        <v>692</v>
      </c>
      <c r="D5" s="150"/>
      <c r="E5" s="148"/>
      <c r="F5" s="148"/>
      <c r="G5" s="148"/>
      <c r="H5" s="84" t="s">
        <v>562</v>
      </c>
      <c r="I5" s="84" t="s">
        <v>570</v>
      </c>
      <c r="J5" s="84" t="s">
        <v>572</v>
      </c>
      <c r="K5" s="84" t="s">
        <v>8</v>
      </c>
      <c r="L5" s="84" t="s">
        <v>562</v>
      </c>
      <c r="M5" s="84" t="s">
        <v>570</v>
      </c>
      <c r="N5" s="84" t="s">
        <v>572</v>
      </c>
      <c r="O5" s="84" t="s">
        <v>8</v>
      </c>
      <c r="P5" s="148"/>
      <c r="Q5" s="148"/>
      <c r="R5" s="154"/>
    </row>
    <row r="6" spans="2:18" ht="15.75">
      <c r="B6" s="155" t="s">
        <v>207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24"/>
    </row>
    <row r="7" spans="1:18" ht="12.75">
      <c r="A7" s="36" t="s">
        <v>562</v>
      </c>
      <c r="B7" s="95" t="s">
        <v>707</v>
      </c>
      <c r="C7" s="95" t="s">
        <v>214</v>
      </c>
      <c r="D7" s="95" t="s">
        <v>215</v>
      </c>
      <c r="E7" s="95" t="s">
        <v>708</v>
      </c>
      <c r="F7" s="95" t="s">
        <v>216</v>
      </c>
      <c r="G7" s="95" t="s">
        <v>17</v>
      </c>
      <c r="H7" s="96" t="s">
        <v>709</v>
      </c>
      <c r="I7" s="97" t="s">
        <v>477</v>
      </c>
      <c r="J7" s="96" t="s">
        <v>477</v>
      </c>
      <c r="K7" s="98"/>
      <c r="L7" s="96" t="s">
        <v>234</v>
      </c>
      <c r="M7" s="96" t="s">
        <v>709</v>
      </c>
      <c r="N7" s="97" t="s">
        <v>477</v>
      </c>
      <c r="O7" s="98"/>
      <c r="P7" s="93" t="s">
        <v>710</v>
      </c>
      <c r="Q7" s="95" t="s">
        <v>711</v>
      </c>
      <c r="R7" s="95" t="s">
        <v>217</v>
      </c>
    </row>
    <row r="8" spans="1:18" ht="12.75">
      <c r="A8" s="37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7"/>
      <c r="Q8" s="24"/>
      <c r="R8" s="24"/>
    </row>
    <row r="9" spans="2:18" ht="15.75">
      <c r="B9" s="155" t="s">
        <v>24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24"/>
    </row>
    <row r="10" spans="1:18" ht="12.75">
      <c r="A10" s="36" t="s">
        <v>562</v>
      </c>
      <c r="B10" s="95" t="s">
        <v>712</v>
      </c>
      <c r="C10" s="95" t="s">
        <v>713</v>
      </c>
      <c r="D10" s="95" t="s">
        <v>547</v>
      </c>
      <c r="E10" s="95" t="s">
        <v>714</v>
      </c>
      <c r="F10" s="95" t="s">
        <v>16</v>
      </c>
      <c r="G10" s="95" t="s">
        <v>17</v>
      </c>
      <c r="H10" s="96" t="s">
        <v>225</v>
      </c>
      <c r="I10" s="96" t="s">
        <v>364</v>
      </c>
      <c r="J10" s="96" t="s">
        <v>365</v>
      </c>
      <c r="K10" s="99"/>
      <c r="L10" s="96" t="s">
        <v>19</v>
      </c>
      <c r="M10" s="96" t="s">
        <v>20</v>
      </c>
      <c r="N10" s="96" t="s">
        <v>21</v>
      </c>
      <c r="O10" s="98"/>
      <c r="P10" s="93" t="s">
        <v>242</v>
      </c>
      <c r="Q10" s="95" t="s">
        <v>715</v>
      </c>
      <c r="R10" s="95" t="s">
        <v>40</v>
      </c>
    </row>
    <row r="11" spans="1:18" ht="12.75">
      <c r="A11" s="37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37"/>
      <c r="Q11" s="24"/>
      <c r="R11" s="24"/>
    </row>
    <row r="12" spans="2:18" ht="15.75">
      <c r="B12" s="155" t="s">
        <v>34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24"/>
    </row>
    <row r="13" spans="1:18" ht="12.75">
      <c r="A13" s="47" t="s">
        <v>562</v>
      </c>
      <c r="B13" s="100" t="s">
        <v>716</v>
      </c>
      <c r="C13" s="100" t="s">
        <v>265</v>
      </c>
      <c r="D13" s="100" t="s">
        <v>717</v>
      </c>
      <c r="E13" s="100" t="s">
        <v>718</v>
      </c>
      <c r="F13" s="100" t="s">
        <v>216</v>
      </c>
      <c r="G13" s="100" t="s">
        <v>17</v>
      </c>
      <c r="H13" s="101" t="s">
        <v>357</v>
      </c>
      <c r="I13" s="102" t="s">
        <v>44</v>
      </c>
      <c r="J13" s="102" t="s">
        <v>44</v>
      </c>
      <c r="K13" s="103"/>
      <c r="L13" s="101" t="s">
        <v>489</v>
      </c>
      <c r="M13" s="101" t="s">
        <v>21</v>
      </c>
      <c r="N13" s="102" t="s">
        <v>225</v>
      </c>
      <c r="O13" s="103"/>
      <c r="P13" s="104" t="s">
        <v>719</v>
      </c>
      <c r="Q13" s="100" t="s">
        <v>720</v>
      </c>
      <c r="R13" s="100" t="s">
        <v>217</v>
      </c>
    </row>
    <row r="14" spans="1:18" ht="12.75">
      <c r="A14" s="36"/>
      <c r="B14" s="95" t="s">
        <v>721</v>
      </c>
      <c r="C14" s="95" t="s">
        <v>722</v>
      </c>
      <c r="D14" s="95" t="s">
        <v>37</v>
      </c>
      <c r="E14" s="95" t="s">
        <v>723</v>
      </c>
      <c r="F14" s="95" t="s">
        <v>16</v>
      </c>
      <c r="G14" s="95" t="s">
        <v>17</v>
      </c>
      <c r="H14" s="97" t="s">
        <v>357</v>
      </c>
      <c r="I14" s="98"/>
      <c r="J14" s="98"/>
      <c r="K14" s="98"/>
      <c r="L14" s="97" t="s">
        <v>483</v>
      </c>
      <c r="M14" s="98"/>
      <c r="N14" s="98"/>
      <c r="O14" s="98"/>
      <c r="P14" s="93" t="s">
        <v>571</v>
      </c>
      <c r="Q14" s="95" t="s">
        <v>724</v>
      </c>
      <c r="R14" s="95" t="s">
        <v>40</v>
      </c>
    </row>
    <row r="15" spans="1:18" ht="12.75">
      <c r="A15" s="3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37"/>
      <c r="Q15" s="24"/>
      <c r="R15" s="24"/>
    </row>
    <row r="16" spans="2:18" ht="15.75">
      <c r="B16" s="155" t="s">
        <v>62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24"/>
    </row>
    <row r="17" spans="1:18" ht="12.75">
      <c r="A17" s="47" t="s">
        <v>562</v>
      </c>
      <c r="B17" s="100" t="s">
        <v>725</v>
      </c>
      <c r="C17" s="100" t="s">
        <v>726</v>
      </c>
      <c r="D17" s="100" t="s">
        <v>727</v>
      </c>
      <c r="E17" s="100" t="s">
        <v>728</v>
      </c>
      <c r="F17" s="100" t="s">
        <v>216</v>
      </c>
      <c r="G17" s="100" t="s">
        <v>71</v>
      </c>
      <c r="H17" s="101" t="s">
        <v>21</v>
      </c>
      <c r="I17" s="102" t="s">
        <v>225</v>
      </c>
      <c r="J17" s="102" t="s">
        <v>225</v>
      </c>
      <c r="K17" s="103"/>
      <c r="L17" s="101" t="s">
        <v>19</v>
      </c>
      <c r="M17" s="101" t="s">
        <v>20</v>
      </c>
      <c r="N17" s="101" t="s">
        <v>21</v>
      </c>
      <c r="O17" s="103"/>
      <c r="P17" s="104" t="s">
        <v>729</v>
      </c>
      <c r="Q17" s="100" t="s">
        <v>730</v>
      </c>
      <c r="R17" s="100" t="s">
        <v>731</v>
      </c>
    </row>
    <row r="18" spans="1:18" ht="12.75">
      <c r="A18" s="36" t="s">
        <v>562</v>
      </c>
      <c r="B18" s="95" t="s">
        <v>732</v>
      </c>
      <c r="C18" s="95" t="s">
        <v>279</v>
      </c>
      <c r="D18" s="95" t="s">
        <v>280</v>
      </c>
      <c r="E18" s="95" t="s">
        <v>733</v>
      </c>
      <c r="F18" s="95" t="s">
        <v>134</v>
      </c>
      <c r="G18" s="95" t="s">
        <v>281</v>
      </c>
      <c r="H18" s="96" t="s">
        <v>483</v>
      </c>
      <c r="I18" s="96" t="s">
        <v>44</v>
      </c>
      <c r="J18" s="96" t="s">
        <v>45</v>
      </c>
      <c r="K18" s="98"/>
      <c r="L18" s="96" t="s">
        <v>483</v>
      </c>
      <c r="M18" s="96" t="s">
        <v>365</v>
      </c>
      <c r="N18" s="97" t="s">
        <v>44</v>
      </c>
      <c r="O18" s="98"/>
      <c r="P18" s="93" t="s">
        <v>53</v>
      </c>
      <c r="Q18" s="95" t="s">
        <v>734</v>
      </c>
      <c r="R18" s="95" t="s">
        <v>283</v>
      </c>
    </row>
    <row r="19" spans="1:18" ht="12.75">
      <c r="A19" s="37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37"/>
      <c r="Q19" s="24"/>
      <c r="R19" s="24"/>
    </row>
    <row r="20" spans="2:18" ht="15.75">
      <c r="B20" s="155" t="s">
        <v>85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24"/>
    </row>
    <row r="21" spans="1:18" ht="12.75">
      <c r="A21" s="36"/>
      <c r="B21" s="95" t="s">
        <v>735</v>
      </c>
      <c r="C21" s="95" t="s">
        <v>736</v>
      </c>
      <c r="D21" s="95" t="s">
        <v>350</v>
      </c>
      <c r="E21" s="95" t="s">
        <v>737</v>
      </c>
      <c r="F21" s="95" t="s">
        <v>16</v>
      </c>
      <c r="G21" s="95" t="s">
        <v>17</v>
      </c>
      <c r="H21" s="97" t="s">
        <v>375</v>
      </c>
      <c r="I21" s="97" t="s">
        <v>46</v>
      </c>
      <c r="J21" s="97" t="s">
        <v>46</v>
      </c>
      <c r="K21" s="98"/>
      <c r="L21" s="97" t="s">
        <v>357</v>
      </c>
      <c r="M21" s="98"/>
      <c r="N21" s="98"/>
      <c r="O21" s="98"/>
      <c r="P21" s="93" t="s">
        <v>571</v>
      </c>
      <c r="Q21" s="95" t="s">
        <v>724</v>
      </c>
      <c r="R21" s="95" t="s">
        <v>40</v>
      </c>
    </row>
    <row r="22" spans="1:18" ht="12.75">
      <c r="A22" s="48" t="s">
        <v>562</v>
      </c>
      <c r="B22" s="105" t="s">
        <v>738</v>
      </c>
      <c r="C22" s="105" t="s">
        <v>739</v>
      </c>
      <c r="D22" s="105" t="s">
        <v>740</v>
      </c>
      <c r="E22" s="105" t="s">
        <v>741</v>
      </c>
      <c r="F22" s="105" t="s">
        <v>16</v>
      </c>
      <c r="G22" s="105" t="s">
        <v>17</v>
      </c>
      <c r="H22" s="106" t="s">
        <v>483</v>
      </c>
      <c r="I22" s="106" t="s">
        <v>357</v>
      </c>
      <c r="J22" s="106" t="s">
        <v>44</v>
      </c>
      <c r="K22" s="107"/>
      <c r="L22" s="106" t="s">
        <v>21</v>
      </c>
      <c r="M22" s="106" t="s">
        <v>483</v>
      </c>
      <c r="N22" s="108" t="s">
        <v>357</v>
      </c>
      <c r="O22" s="107"/>
      <c r="P22" s="109" t="s">
        <v>742</v>
      </c>
      <c r="Q22" s="105" t="s">
        <v>743</v>
      </c>
      <c r="R22" s="105" t="s">
        <v>40</v>
      </c>
    </row>
    <row r="23" spans="1:18" ht="12.75">
      <c r="A23" s="3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37"/>
      <c r="Q23" s="24"/>
      <c r="R23" s="24"/>
    </row>
    <row r="24" spans="2:18" ht="15.75">
      <c r="B24" s="155" t="s">
        <v>115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24"/>
    </row>
    <row r="25" spans="1:18" ht="12.75">
      <c r="A25" s="36" t="s">
        <v>562</v>
      </c>
      <c r="B25" s="95" t="s">
        <v>615</v>
      </c>
      <c r="C25" s="95" t="s">
        <v>315</v>
      </c>
      <c r="D25" s="95" t="s">
        <v>316</v>
      </c>
      <c r="E25" s="95" t="s">
        <v>744</v>
      </c>
      <c r="F25" s="95" t="s">
        <v>16</v>
      </c>
      <c r="G25" s="95" t="s">
        <v>17</v>
      </c>
      <c r="H25" s="97" t="s">
        <v>45</v>
      </c>
      <c r="I25" s="96" t="s">
        <v>45</v>
      </c>
      <c r="J25" s="96" t="s">
        <v>375</v>
      </c>
      <c r="K25" s="99"/>
      <c r="L25" s="96" t="s">
        <v>19</v>
      </c>
      <c r="M25" s="96" t="s">
        <v>20</v>
      </c>
      <c r="N25" s="96" t="s">
        <v>21</v>
      </c>
      <c r="O25" s="98"/>
      <c r="P25" s="93" t="s">
        <v>742</v>
      </c>
      <c r="Q25" s="95" t="s">
        <v>745</v>
      </c>
      <c r="R25" s="95" t="s">
        <v>317</v>
      </c>
    </row>
    <row r="26" spans="1:18" ht="12.75">
      <c r="A26" s="37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37"/>
      <c r="Q26" s="24"/>
      <c r="R26" s="24"/>
    </row>
    <row r="27" spans="1:18" ht="12.75">
      <c r="A27" s="37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37"/>
      <c r="Q27" s="24"/>
      <c r="R27" s="24"/>
    </row>
    <row r="28" spans="1:18" ht="12.75">
      <c r="A28" s="37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37"/>
      <c r="Q28" s="24"/>
      <c r="R28" s="24"/>
    </row>
    <row r="29" spans="1:18" ht="12.75">
      <c r="A29" s="37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37"/>
      <c r="Q29" s="24"/>
      <c r="R29" s="24"/>
    </row>
    <row r="30" spans="1:18" ht="12.75">
      <c r="A30" s="37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37"/>
      <c r="Q30" s="24"/>
      <c r="R30" s="24"/>
    </row>
    <row r="31" spans="1:18" ht="12.75">
      <c r="A31" s="37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37"/>
      <c r="Q31" s="24"/>
      <c r="R31" s="24"/>
    </row>
    <row r="32" spans="1:18" ht="12.75">
      <c r="A32" s="37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37"/>
      <c r="Q32" s="24"/>
      <c r="R32" s="24"/>
    </row>
    <row r="33" spans="1:18" ht="12.75">
      <c r="A33" s="37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37"/>
      <c r="Q33" s="24"/>
      <c r="R33" s="24"/>
    </row>
  </sheetData>
  <sheetProtection/>
  <mergeCells count="21">
    <mergeCell ref="E4:E5"/>
    <mergeCell ref="B4:B5"/>
    <mergeCell ref="B16:Q16"/>
    <mergeCell ref="B20:Q20"/>
    <mergeCell ref="B24:Q24"/>
    <mergeCell ref="H4:K4"/>
    <mergeCell ref="L4:O4"/>
    <mergeCell ref="P4:P5"/>
    <mergeCell ref="Q4:Q5"/>
    <mergeCell ref="G4:G5"/>
    <mergeCell ref="F4:F5"/>
    <mergeCell ref="D4:D5"/>
    <mergeCell ref="B9:Q9"/>
    <mergeCell ref="B12:Q12"/>
    <mergeCell ref="R4:R5"/>
    <mergeCell ref="B6:Q6"/>
    <mergeCell ref="A1:A2"/>
    <mergeCell ref="B1:R1"/>
    <mergeCell ref="B2:R2"/>
    <mergeCell ref="B3:R3"/>
    <mergeCell ref="A4:A5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I21" sqref="I21"/>
    </sheetView>
  </sheetViews>
  <sheetFormatPr defaultColWidth="11.00390625" defaultRowHeight="12.75"/>
  <cols>
    <col min="1" max="1" width="6.375" style="0" customWidth="1"/>
    <col min="2" max="2" width="21.875" style="0" customWidth="1"/>
    <col min="3" max="3" width="21.75390625" style="0" customWidth="1"/>
    <col min="7" max="7" width="24.25390625" style="0" customWidth="1"/>
    <col min="8" max="8" width="6.875" style="0" customWidth="1"/>
    <col min="9" max="9" width="7.25390625" style="0" customWidth="1"/>
    <col min="10" max="10" width="7.375" style="0" customWidth="1"/>
    <col min="11" max="11" width="6.25390625" style="0" customWidth="1"/>
    <col min="12" max="12" width="7.375" style="0" customWidth="1"/>
    <col min="13" max="13" width="7.25390625" style="0" customWidth="1"/>
    <col min="14" max="14" width="7.375" style="0" customWidth="1"/>
    <col min="15" max="15" width="6.75390625" style="0" customWidth="1"/>
    <col min="18" max="18" width="18.00390625" style="0" customWidth="1"/>
  </cols>
  <sheetData>
    <row r="1" spans="1:18" ht="28.5" customHeight="1">
      <c r="A1" s="142"/>
      <c r="B1" s="143" t="s">
        <v>689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28.5" hidden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30" thickBot="1">
      <c r="A3" s="77"/>
      <c r="B3" s="144" t="s">
        <v>690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ht="13.5">
      <c r="A4" s="145" t="s">
        <v>561</v>
      </c>
      <c r="B4" s="147" t="s">
        <v>0</v>
      </c>
      <c r="C4" s="82" t="s">
        <v>691</v>
      </c>
      <c r="D4" s="149" t="s">
        <v>10</v>
      </c>
      <c r="E4" s="147" t="s">
        <v>693</v>
      </c>
      <c r="F4" s="147" t="s">
        <v>7</v>
      </c>
      <c r="G4" s="147" t="s">
        <v>583</v>
      </c>
      <c r="H4" s="157" t="s">
        <v>694</v>
      </c>
      <c r="I4" s="158"/>
      <c r="J4" s="158"/>
      <c r="K4" s="159"/>
      <c r="L4" s="157" t="s">
        <v>695</v>
      </c>
      <c r="M4" s="158"/>
      <c r="N4" s="158"/>
      <c r="O4" s="159"/>
      <c r="P4" s="147" t="s">
        <v>4</v>
      </c>
      <c r="Q4" s="147" t="s">
        <v>6</v>
      </c>
      <c r="R4" s="153" t="s">
        <v>5</v>
      </c>
    </row>
    <row r="5" spans="1:18" ht="15" thickBot="1">
      <c r="A5" s="146"/>
      <c r="B5" s="148"/>
      <c r="C5" s="83" t="s">
        <v>692</v>
      </c>
      <c r="D5" s="150"/>
      <c r="E5" s="148"/>
      <c r="F5" s="148"/>
      <c r="G5" s="148"/>
      <c r="H5" s="84" t="s">
        <v>562</v>
      </c>
      <c r="I5" s="84" t="s">
        <v>570</v>
      </c>
      <c r="J5" s="84" t="s">
        <v>572</v>
      </c>
      <c r="K5" s="84" t="s">
        <v>8</v>
      </c>
      <c r="L5" s="84" t="s">
        <v>562</v>
      </c>
      <c r="M5" s="84" t="s">
        <v>570</v>
      </c>
      <c r="N5" s="84" t="s">
        <v>572</v>
      </c>
      <c r="O5" s="84" t="s">
        <v>8</v>
      </c>
      <c r="P5" s="148"/>
      <c r="Q5" s="148"/>
      <c r="R5" s="154"/>
    </row>
    <row r="6" spans="1:18" ht="15.75">
      <c r="A6" s="77"/>
      <c r="B6" s="155" t="s">
        <v>24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85"/>
    </row>
    <row r="7" spans="1:18" ht="12.75">
      <c r="A7" s="36" t="s">
        <v>562</v>
      </c>
      <c r="B7" s="86" t="s">
        <v>696</v>
      </c>
      <c r="C7" s="87" t="s">
        <v>26</v>
      </c>
      <c r="D7" s="88" t="s">
        <v>27</v>
      </c>
      <c r="E7" s="87" t="s">
        <v>697</v>
      </c>
      <c r="F7" s="86" t="s">
        <v>16</v>
      </c>
      <c r="G7" s="86" t="s">
        <v>28</v>
      </c>
      <c r="H7" s="89" t="s">
        <v>225</v>
      </c>
      <c r="I7" s="89" t="s">
        <v>483</v>
      </c>
      <c r="J7" s="89" t="s">
        <v>357</v>
      </c>
      <c r="K7" s="90"/>
      <c r="L7" s="89" t="s">
        <v>20</v>
      </c>
      <c r="M7" s="89" t="s">
        <v>489</v>
      </c>
      <c r="N7" s="91" t="s">
        <v>21</v>
      </c>
      <c r="O7" s="92"/>
      <c r="P7" s="93" t="s">
        <v>698</v>
      </c>
      <c r="Q7" s="87" t="s">
        <v>699</v>
      </c>
      <c r="R7" s="86" t="s">
        <v>33</v>
      </c>
    </row>
    <row r="8" spans="1:18" ht="12.75">
      <c r="A8" s="37"/>
      <c r="B8" s="85"/>
      <c r="C8" s="77"/>
      <c r="D8" s="94"/>
      <c r="E8" s="77"/>
      <c r="F8" s="85"/>
      <c r="G8" s="85"/>
      <c r="H8" s="77"/>
      <c r="I8" s="77"/>
      <c r="J8" s="77"/>
      <c r="K8" s="77"/>
      <c r="L8" s="77"/>
      <c r="M8" s="77"/>
      <c r="N8" s="77"/>
      <c r="O8" s="77"/>
      <c r="P8" s="37"/>
      <c r="Q8" s="77"/>
      <c r="R8" s="85"/>
    </row>
    <row r="9" spans="1:18" ht="15.75">
      <c r="A9" s="77"/>
      <c r="B9" s="155" t="s">
        <v>62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85"/>
    </row>
    <row r="10" spans="1:18" ht="12.75">
      <c r="A10" s="36" t="s">
        <v>562</v>
      </c>
      <c r="B10" s="86" t="s">
        <v>700</v>
      </c>
      <c r="C10" s="87" t="s">
        <v>516</v>
      </c>
      <c r="D10" s="88" t="s">
        <v>517</v>
      </c>
      <c r="E10" s="87" t="s">
        <v>701</v>
      </c>
      <c r="F10" s="86" t="s">
        <v>16</v>
      </c>
      <c r="G10" s="86" t="s">
        <v>667</v>
      </c>
      <c r="H10" s="89" t="s">
        <v>44</v>
      </c>
      <c r="I10" s="91" t="s">
        <v>358</v>
      </c>
      <c r="J10" s="92"/>
      <c r="K10" s="92"/>
      <c r="L10" s="89" t="s">
        <v>364</v>
      </c>
      <c r="M10" s="91" t="s">
        <v>357</v>
      </c>
      <c r="N10" s="91" t="s">
        <v>357</v>
      </c>
      <c r="O10" s="92"/>
      <c r="P10" s="93" t="s">
        <v>702</v>
      </c>
      <c r="Q10" s="87" t="s">
        <v>703</v>
      </c>
      <c r="R10" s="86" t="s">
        <v>40</v>
      </c>
    </row>
    <row r="11" spans="1:18" ht="12.75">
      <c r="A11" s="37"/>
      <c r="B11" s="85"/>
      <c r="C11" s="77"/>
      <c r="D11" s="94"/>
      <c r="E11" s="77"/>
      <c r="F11" s="85"/>
      <c r="G11" s="85"/>
      <c r="H11" s="77"/>
      <c r="I11" s="77"/>
      <c r="J11" s="77"/>
      <c r="K11" s="77"/>
      <c r="L11" s="77"/>
      <c r="M11" s="77"/>
      <c r="N11" s="77"/>
      <c r="O11" s="77"/>
      <c r="P11" s="37"/>
      <c r="Q11" s="77"/>
      <c r="R11" s="85"/>
    </row>
    <row r="12" spans="1:18" ht="15.75">
      <c r="A12" s="77"/>
      <c r="B12" s="155" t="s">
        <v>85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85"/>
    </row>
    <row r="13" spans="1:18" ht="12.75">
      <c r="A13" s="36" t="s">
        <v>562</v>
      </c>
      <c r="B13" s="86" t="s">
        <v>98</v>
      </c>
      <c r="C13" s="87" t="s">
        <v>99</v>
      </c>
      <c r="D13" s="88" t="s">
        <v>100</v>
      </c>
      <c r="E13" s="87" t="s">
        <v>704</v>
      </c>
      <c r="F13" s="86" t="s">
        <v>16</v>
      </c>
      <c r="G13" s="86" t="s">
        <v>101</v>
      </c>
      <c r="H13" s="89" t="s">
        <v>483</v>
      </c>
      <c r="I13" s="92"/>
      <c r="J13" s="92"/>
      <c r="K13" s="92"/>
      <c r="L13" s="89" t="s">
        <v>19</v>
      </c>
      <c r="M13" s="92"/>
      <c r="N13" s="92"/>
      <c r="O13" s="92"/>
      <c r="P13" s="93" t="s">
        <v>129</v>
      </c>
      <c r="Q13" s="87" t="s">
        <v>705</v>
      </c>
      <c r="R13" s="86" t="s">
        <v>40</v>
      </c>
    </row>
    <row r="14" spans="1:18" ht="12.75">
      <c r="A14" s="37"/>
      <c r="B14" s="85"/>
      <c r="C14" s="77"/>
      <c r="D14" s="94"/>
      <c r="E14" s="77"/>
      <c r="F14" s="85"/>
      <c r="G14" s="85"/>
      <c r="H14" s="77"/>
      <c r="I14" s="77"/>
      <c r="J14" s="77"/>
      <c r="K14" s="77"/>
      <c r="L14" s="77"/>
      <c r="M14" s="77"/>
      <c r="N14" s="77"/>
      <c r="O14" s="77"/>
      <c r="P14" s="37"/>
      <c r="Q14" s="77"/>
      <c r="R14" s="85"/>
    </row>
    <row r="15" spans="1:18" ht="12.75">
      <c r="A15" s="37"/>
      <c r="B15" s="85"/>
      <c r="C15" s="77"/>
      <c r="D15" s="94"/>
      <c r="E15" s="77"/>
      <c r="F15" s="85"/>
      <c r="G15" s="85"/>
      <c r="H15" s="77"/>
      <c r="I15" s="77"/>
      <c r="J15" s="77"/>
      <c r="K15" s="77"/>
      <c r="L15" s="77"/>
      <c r="M15" s="77"/>
      <c r="N15" s="77"/>
      <c r="O15" s="77"/>
      <c r="P15" s="37"/>
      <c r="Q15" s="77"/>
      <c r="R15" s="85"/>
    </row>
    <row r="16" spans="1:18" ht="12.75">
      <c r="A16" s="37"/>
      <c r="B16" s="85"/>
      <c r="C16" s="77"/>
      <c r="D16" s="94"/>
      <c r="E16" s="77"/>
      <c r="F16" s="85"/>
      <c r="G16" s="85"/>
      <c r="H16" s="77"/>
      <c r="I16" s="77"/>
      <c r="J16" s="77"/>
      <c r="K16" s="77"/>
      <c r="L16" s="77"/>
      <c r="M16" s="77"/>
      <c r="N16" s="77"/>
      <c r="O16" s="77"/>
      <c r="P16" s="37"/>
      <c r="Q16" s="77"/>
      <c r="R16" s="85"/>
    </row>
    <row r="17" spans="1:18" ht="12.75">
      <c r="A17" s="37"/>
      <c r="B17" s="85"/>
      <c r="C17" s="77"/>
      <c r="D17" s="94"/>
      <c r="E17" s="77"/>
      <c r="F17" s="85"/>
      <c r="G17" s="85"/>
      <c r="H17" s="77"/>
      <c r="I17" s="77"/>
      <c r="J17" s="77"/>
      <c r="K17" s="77"/>
      <c r="L17" s="77"/>
      <c r="M17" s="77"/>
      <c r="N17" s="77"/>
      <c r="O17" s="77"/>
      <c r="P17" s="37"/>
      <c r="Q17" s="77"/>
      <c r="R17" s="85"/>
    </row>
    <row r="18" spans="1:18" ht="12.75">
      <c r="A18" s="37"/>
      <c r="B18" s="85"/>
      <c r="C18" s="77"/>
      <c r="D18" s="94"/>
      <c r="E18" s="77"/>
      <c r="F18" s="85"/>
      <c r="G18" s="85"/>
      <c r="H18" s="77"/>
      <c r="I18" s="77"/>
      <c r="J18" s="77"/>
      <c r="K18" s="77"/>
      <c r="L18" s="77"/>
      <c r="M18" s="77"/>
      <c r="N18" s="77"/>
      <c r="O18" s="77"/>
      <c r="P18" s="37"/>
      <c r="Q18" s="77"/>
      <c r="R18" s="85"/>
    </row>
    <row r="19" spans="1:18" ht="12.75">
      <c r="A19" s="37"/>
      <c r="B19" s="85"/>
      <c r="C19" s="77"/>
      <c r="D19" s="94"/>
      <c r="E19" s="77"/>
      <c r="F19" s="85"/>
      <c r="G19" s="85"/>
      <c r="H19" s="77"/>
      <c r="I19" s="77"/>
      <c r="J19" s="77"/>
      <c r="K19" s="77"/>
      <c r="L19" s="77"/>
      <c r="M19" s="77"/>
      <c r="N19" s="77"/>
      <c r="O19" s="77"/>
      <c r="P19" s="37"/>
      <c r="Q19" s="77"/>
      <c r="R19" s="85"/>
    </row>
    <row r="20" spans="1:18" ht="12.75">
      <c r="A20" s="37"/>
      <c r="B20" s="85"/>
      <c r="C20" s="77"/>
      <c r="D20" s="94"/>
      <c r="E20" s="77"/>
      <c r="F20" s="85"/>
      <c r="G20" s="85"/>
      <c r="H20" s="77"/>
      <c r="I20" s="77"/>
      <c r="J20" s="77"/>
      <c r="K20" s="77"/>
      <c r="L20" s="77"/>
      <c r="M20" s="77"/>
      <c r="N20" s="77"/>
      <c r="O20" s="77"/>
      <c r="P20" s="37"/>
      <c r="Q20" s="77"/>
      <c r="R20" s="85"/>
    </row>
  </sheetData>
  <sheetProtection/>
  <mergeCells count="18">
    <mergeCell ref="B9:Q9"/>
    <mergeCell ref="B12:Q12"/>
    <mergeCell ref="H4:K4"/>
    <mergeCell ref="L4:O4"/>
    <mergeCell ref="P4:P5"/>
    <mergeCell ref="Q4:Q5"/>
    <mergeCell ref="F4:F5"/>
    <mergeCell ref="G4:G5"/>
    <mergeCell ref="R4:R5"/>
    <mergeCell ref="B6:Q6"/>
    <mergeCell ref="A1:A2"/>
    <mergeCell ref="B1:R1"/>
    <mergeCell ref="B2:R2"/>
    <mergeCell ref="B3:R3"/>
    <mergeCell ref="A4:A5"/>
    <mergeCell ref="B4:B5"/>
    <mergeCell ref="D4:D5"/>
    <mergeCell ref="E4:E5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6" sqref="G6"/>
    </sheetView>
  </sheetViews>
  <sheetFormatPr defaultColWidth="8.75390625" defaultRowHeight="12.75"/>
  <cols>
    <col min="1" max="1" width="7.00390625" style="37" customWidth="1"/>
    <col min="2" max="2" width="26.00390625" style="24" customWidth="1"/>
    <col min="3" max="3" width="21.375" style="24" bestFit="1" customWidth="1"/>
    <col min="4" max="4" width="12.25390625" style="24" bestFit="1" customWidth="1"/>
    <col min="5" max="5" width="8.375" style="24" bestFit="1" customWidth="1"/>
    <col min="6" max="6" width="22.75390625" style="24" bestFit="1" customWidth="1"/>
    <col min="7" max="7" width="28.375" style="24" customWidth="1"/>
    <col min="8" max="11" width="5.25390625" style="24" customWidth="1"/>
    <col min="12" max="12" width="12.375" style="37" customWidth="1"/>
    <col min="13" max="13" width="8.625" style="24" bestFit="1" customWidth="1"/>
    <col min="14" max="14" width="15.75390625" style="24" bestFit="1" customWidth="1"/>
  </cols>
  <sheetData>
    <row r="1" spans="1:14" s="1" customFormat="1" ht="15" customHeight="1">
      <c r="A1" s="39"/>
      <c r="B1" s="163" t="s">
        <v>568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s="1" customFormat="1" ht="75.75" customHeight="1" thickBot="1">
      <c r="A2" s="39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s="2" customFormat="1" ht="12.75" customHeight="1">
      <c r="A3" s="161" t="s">
        <v>561</v>
      </c>
      <c r="B3" s="165" t="s">
        <v>0</v>
      </c>
      <c r="C3" s="167" t="s">
        <v>9</v>
      </c>
      <c r="D3" s="167" t="s">
        <v>10</v>
      </c>
      <c r="E3" s="151" t="s">
        <v>11</v>
      </c>
      <c r="F3" s="151" t="s">
        <v>7</v>
      </c>
      <c r="G3" s="151" t="s">
        <v>583</v>
      </c>
      <c r="H3" s="151" t="s">
        <v>3</v>
      </c>
      <c r="I3" s="151"/>
      <c r="J3" s="151"/>
      <c r="K3" s="151"/>
      <c r="L3" s="151" t="s">
        <v>567</v>
      </c>
      <c r="M3" s="151" t="s">
        <v>6</v>
      </c>
      <c r="N3" s="169" t="s">
        <v>5</v>
      </c>
    </row>
    <row r="4" spans="1:14" s="2" customFormat="1" ht="35.25" customHeight="1" thickBot="1">
      <c r="A4" s="162"/>
      <c r="B4" s="166"/>
      <c r="C4" s="152"/>
      <c r="D4" s="168"/>
      <c r="E4" s="152"/>
      <c r="F4" s="152"/>
      <c r="G4" s="152"/>
      <c r="H4" s="3">
        <v>1</v>
      </c>
      <c r="I4" s="3">
        <v>2</v>
      </c>
      <c r="J4" s="3">
        <v>3</v>
      </c>
      <c r="K4" s="3" t="s">
        <v>8</v>
      </c>
      <c r="L4" s="152"/>
      <c r="M4" s="152"/>
      <c r="N4" s="170"/>
    </row>
    <row r="5" spans="1:13" ht="15.75">
      <c r="A5" s="40"/>
      <c r="B5" s="160" t="s">
        <v>34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4" ht="12.75">
      <c r="A6" s="36" t="s">
        <v>562</v>
      </c>
      <c r="B6" s="29" t="s">
        <v>685</v>
      </c>
      <c r="C6" s="29" t="s">
        <v>36</v>
      </c>
      <c r="D6" s="29" t="s">
        <v>37</v>
      </c>
      <c r="E6" s="29" t="str">
        <f>"0,9506"</f>
        <v>0,9506</v>
      </c>
      <c r="F6" s="29" t="s">
        <v>16</v>
      </c>
      <c r="G6" s="29" t="s">
        <v>682</v>
      </c>
      <c r="H6" s="38" t="s">
        <v>145</v>
      </c>
      <c r="I6" s="41" t="s">
        <v>390</v>
      </c>
      <c r="J6" s="30"/>
      <c r="K6" s="30"/>
      <c r="L6" s="36">
        <v>235</v>
      </c>
      <c r="M6" s="29" t="str">
        <f>"223,3910"</f>
        <v>223,3910</v>
      </c>
      <c r="N6" s="29" t="s">
        <v>40</v>
      </c>
    </row>
  </sheetData>
  <sheetProtection/>
  <mergeCells count="13">
    <mergeCell ref="L3:L4"/>
    <mergeCell ref="M3:M4"/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G10" sqref="G10"/>
    </sheetView>
  </sheetViews>
  <sheetFormatPr defaultColWidth="8.75390625" defaultRowHeight="12.75"/>
  <cols>
    <col min="1" max="1" width="7.125" style="37" customWidth="1"/>
    <col min="2" max="2" width="22.875" style="24" customWidth="1"/>
    <col min="3" max="3" width="27.125" style="24" bestFit="1" customWidth="1"/>
    <col min="4" max="4" width="12.25390625" style="24" bestFit="1" customWidth="1"/>
    <col min="5" max="5" width="8.375" style="24" bestFit="1" customWidth="1"/>
    <col min="6" max="6" width="22.75390625" style="24" bestFit="1" customWidth="1"/>
    <col min="7" max="7" width="27.875" style="24" customWidth="1"/>
    <col min="8" max="10" width="5.625" style="24" bestFit="1" customWidth="1"/>
    <col min="11" max="11" width="5.00390625" style="24" customWidth="1"/>
    <col min="12" max="12" width="11.375" style="37" customWidth="1"/>
    <col min="13" max="13" width="8.625" style="24" bestFit="1" customWidth="1"/>
    <col min="14" max="14" width="15.25390625" style="24" customWidth="1"/>
  </cols>
  <sheetData>
    <row r="1" spans="2:14" s="1" customFormat="1" ht="15" customHeight="1">
      <c r="B1" s="163" t="s">
        <v>569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2:14" s="1" customFormat="1" ht="78" customHeight="1" thickBo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s="2" customFormat="1" ht="12.75" customHeight="1">
      <c r="A3" s="161" t="s">
        <v>561</v>
      </c>
      <c r="B3" s="165" t="s">
        <v>0</v>
      </c>
      <c r="C3" s="167" t="s">
        <v>9</v>
      </c>
      <c r="D3" s="167" t="s">
        <v>10</v>
      </c>
      <c r="E3" s="151" t="s">
        <v>11</v>
      </c>
      <c r="F3" s="151" t="s">
        <v>7</v>
      </c>
      <c r="G3" s="151" t="s">
        <v>583</v>
      </c>
      <c r="H3" s="151" t="s">
        <v>3</v>
      </c>
      <c r="I3" s="151"/>
      <c r="J3" s="151"/>
      <c r="K3" s="151"/>
      <c r="L3" s="151" t="s">
        <v>567</v>
      </c>
      <c r="M3" s="151" t="s">
        <v>6</v>
      </c>
      <c r="N3" s="169" t="s">
        <v>5</v>
      </c>
    </row>
    <row r="4" spans="1:14" s="2" customFormat="1" ht="35.25" customHeight="1" thickBot="1">
      <c r="A4" s="162"/>
      <c r="B4" s="166"/>
      <c r="C4" s="152"/>
      <c r="D4" s="168"/>
      <c r="E4" s="152"/>
      <c r="F4" s="152"/>
      <c r="G4" s="152"/>
      <c r="H4" s="3">
        <v>1</v>
      </c>
      <c r="I4" s="3">
        <v>2</v>
      </c>
      <c r="J4" s="3">
        <v>3</v>
      </c>
      <c r="K4" s="3" t="s">
        <v>8</v>
      </c>
      <c r="L4" s="152"/>
      <c r="M4" s="152"/>
      <c r="N4" s="170"/>
    </row>
    <row r="5" spans="1:13" ht="15.75">
      <c r="A5"/>
      <c r="B5" s="160" t="s">
        <v>34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4" ht="12.75">
      <c r="A6" s="47" t="s">
        <v>562</v>
      </c>
      <c r="B6" s="25" t="s">
        <v>672</v>
      </c>
      <c r="C6" s="25" t="s">
        <v>539</v>
      </c>
      <c r="D6" s="25" t="s">
        <v>43</v>
      </c>
      <c r="E6" s="25" t="str">
        <f>"0,9629"</f>
        <v>0,9629</v>
      </c>
      <c r="F6" s="25" t="s">
        <v>523</v>
      </c>
      <c r="G6" s="25" t="s">
        <v>524</v>
      </c>
      <c r="H6" s="45" t="s">
        <v>363</v>
      </c>
      <c r="I6" s="45" t="s">
        <v>242</v>
      </c>
      <c r="J6" s="43" t="s">
        <v>258</v>
      </c>
      <c r="K6" s="26"/>
      <c r="L6" s="47">
        <v>117.5</v>
      </c>
      <c r="M6" s="25" t="str">
        <f>"113,1407"</f>
        <v>113,1407</v>
      </c>
      <c r="N6" s="25" t="s">
        <v>540</v>
      </c>
    </row>
    <row r="7" spans="1:14" ht="12.75">
      <c r="A7" s="36" t="s">
        <v>562</v>
      </c>
      <c r="B7" s="29" t="s">
        <v>673</v>
      </c>
      <c r="C7" s="29" t="s">
        <v>541</v>
      </c>
      <c r="D7" s="29" t="s">
        <v>542</v>
      </c>
      <c r="E7" s="29" t="str">
        <f>"0,9890"</f>
        <v>0,9890</v>
      </c>
      <c r="F7" s="29" t="s">
        <v>216</v>
      </c>
      <c r="G7" s="29" t="s">
        <v>71</v>
      </c>
      <c r="H7" s="38" t="s">
        <v>372</v>
      </c>
      <c r="I7" s="38" t="s">
        <v>102</v>
      </c>
      <c r="J7" s="38" t="s">
        <v>103</v>
      </c>
      <c r="K7" s="30"/>
      <c r="L7" s="36">
        <v>110</v>
      </c>
      <c r="M7" s="29" t="str">
        <f>"108,7900"</f>
        <v>108,7900</v>
      </c>
      <c r="N7" s="29" t="s">
        <v>684</v>
      </c>
    </row>
    <row r="9" spans="1:13" ht="15.75">
      <c r="A9"/>
      <c r="B9" s="171" t="s">
        <v>24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0" spans="1:14" ht="12.75">
      <c r="A10" s="47" t="s">
        <v>562</v>
      </c>
      <c r="B10" s="25" t="s">
        <v>674</v>
      </c>
      <c r="C10" s="25" t="s">
        <v>543</v>
      </c>
      <c r="D10" s="25" t="s">
        <v>544</v>
      </c>
      <c r="E10" s="25" t="str">
        <f>"0,7804"</f>
        <v>0,7804</v>
      </c>
      <c r="F10" s="25" t="s">
        <v>16</v>
      </c>
      <c r="G10" s="25" t="s">
        <v>682</v>
      </c>
      <c r="H10" s="45" t="s">
        <v>119</v>
      </c>
      <c r="I10" s="45" t="s">
        <v>167</v>
      </c>
      <c r="J10" s="43" t="s">
        <v>389</v>
      </c>
      <c r="K10" s="26"/>
      <c r="L10" s="47">
        <v>210</v>
      </c>
      <c r="M10" s="25" t="str">
        <f>"163,8840"</f>
        <v>163,8840</v>
      </c>
      <c r="N10" s="25" t="s">
        <v>545</v>
      </c>
    </row>
    <row r="11" spans="1:14" ht="12.75">
      <c r="A11" s="36" t="s">
        <v>562</v>
      </c>
      <c r="B11" s="29" t="s">
        <v>675</v>
      </c>
      <c r="C11" s="29" t="s">
        <v>546</v>
      </c>
      <c r="D11" s="29" t="s">
        <v>547</v>
      </c>
      <c r="E11" s="29" t="str">
        <f>"0,7738"</f>
        <v>0,7738</v>
      </c>
      <c r="F11" s="29" t="s">
        <v>345</v>
      </c>
      <c r="G11" s="29" t="s">
        <v>548</v>
      </c>
      <c r="H11" s="38" t="s">
        <v>144</v>
      </c>
      <c r="I11" s="38" t="s">
        <v>348</v>
      </c>
      <c r="J11" s="38" t="s">
        <v>398</v>
      </c>
      <c r="K11" s="30"/>
      <c r="L11" s="36">
        <v>252.5</v>
      </c>
      <c r="M11" s="29" t="str">
        <f>"195,3845"</f>
        <v>195,3845</v>
      </c>
      <c r="N11" s="29" t="s">
        <v>683</v>
      </c>
    </row>
    <row r="13" spans="1:13" ht="15.75">
      <c r="A13"/>
      <c r="B13" s="171" t="s">
        <v>34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</row>
    <row r="14" spans="1:14" ht="12.75">
      <c r="A14" s="36" t="s">
        <v>562</v>
      </c>
      <c r="B14" s="29" t="s">
        <v>676</v>
      </c>
      <c r="C14" s="29" t="s">
        <v>261</v>
      </c>
      <c r="D14" s="29" t="s">
        <v>262</v>
      </c>
      <c r="E14" s="29" t="str">
        <f>"0,7398"</f>
        <v>0,7398</v>
      </c>
      <c r="F14" s="29" t="s">
        <v>16</v>
      </c>
      <c r="G14" s="29" t="s">
        <v>17</v>
      </c>
      <c r="H14" s="38" t="s">
        <v>78</v>
      </c>
      <c r="I14" s="38" t="s">
        <v>59</v>
      </c>
      <c r="J14" s="38" t="s">
        <v>125</v>
      </c>
      <c r="K14" s="30"/>
      <c r="L14" s="36">
        <v>170</v>
      </c>
      <c r="M14" s="29" t="str">
        <f>"125,7660"</f>
        <v>125,7660</v>
      </c>
      <c r="N14" s="29" t="s">
        <v>263</v>
      </c>
    </row>
    <row r="16" spans="1:13" ht="15.75">
      <c r="A16"/>
      <c r="B16" s="171" t="s">
        <v>62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</row>
    <row r="17" spans="1:14" ht="12.75">
      <c r="A17" s="47" t="s">
        <v>562</v>
      </c>
      <c r="B17" s="25" t="s">
        <v>677</v>
      </c>
      <c r="C17" s="25" t="s">
        <v>549</v>
      </c>
      <c r="D17" s="25" t="s">
        <v>550</v>
      </c>
      <c r="E17" s="25" t="str">
        <f>"0,6910"</f>
        <v>0,6910</v>
      </c>
      <c r="F17" s="25" t="s">
        <v>16</v>
      </c>
      <c r="G17" s="25" t="s">
        <v>17</v>
      </c>
      <c r="H17" s="45" t="s">
        <v>168</v>
      </c>
      <c r="I17" s="43" t="s">
        <v>348</v>
      </c>
      <c r="J17" s="43" t="s">
        <v>348</v>
      </c>
      <c r="K17" s="26"/>
      <c r="L17" s="47">
        <v>225</v>
      </c>
      <c r="M17" s="25" t="str">
        <f>"155,4750"</f>
        <v>155,4750</v>
      </c>
      <c r="N17" s="25" t="s">
        <v>40</v>
      </c>
    </row>
    <row r="18" spans="1:14" ht="12.75">
      <c r="A18" s="36" t="s">
        <v>570</v>
      </c>
      <c r="B18" s="29" t="s">
        <v>678</v>
      </c>
      <c r="C18" s="29" t="s">
        <v>494</v>
      </c>
      <c r="D18" s="29" t="s">
        <v>495</v>
      </c>
      <c r="E18" s="29" t="str">
        <f>"0,7106"</f>
        <v>0,7106</v>
      </c>
      <c r="F18" s="29" t="s">
        <v>16</v>
      </c>
      <c r="G18" s="29" t="s">
        <v>652</v>
      </c>
      <c r="H18" s="38" t="s">
        <v>125</v>
      </c>
      <c r="I18" s="38" t="s">
        <v>109</v>
      </c>
      <c r="J18" s="38" t="s">
        <v>174</v>
      </c>
      <c r="K18" s="30"/>
      <c r="L18" s="36">
        <v>190</v>
      </c>
      <c r="M18" s="29" t="str">
        <f>"135,0140"</f>
        <v>135,0140</v>
      </c>
      <c r="N18" s="29" t="s">
        <v>496</v>
      </c>
    </row>
    <row r="19" spans="1:14" ht="12.75">
      <c r="A19" s="48" t="s">
        <v>562</v>
      </c>
      <c r="B19" s="27" t="s">
        <v>679</v>
      </c>
      <c r="C19" s="27" t="s">
        <v>497</v>
      </c>
      <c r="D19" s="27" t="s">
        <v>498</v>
      </c>
      <c r="E19" s="27" t="str">
        <f>"0,6724"</f>
        <v>0,6724</v>
      </c>
      <c r="F19" s="27" t="s">
        <v>216</v>
      </c>
      <c r="G19" s="27" t="s">
        <v>17</v>
      </c>
      <c r="H19" s="46" t="s">
        <v>174</v>
      </c>
      <c r="I19" s="28"/>
      <c r="J19" s="28"/>
      <c r="K19" s="28"/>
      <c r="L19" s="48">
        <v>190</v>
      </c>
      <c r="M19" s="27" t="str">
        <f>"127,7560"</f>
        <v>127,7560</v>
      </c>
      <c r="N19" s="27" t="s">
        <v>217</v>
      </c>
    </row>
    <row r="21" spans="1:13" ht="15.75">
      <c r="A21"/>
      <c r="B21" s="171" t="s">
        <v>85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  <row r="22" spans="1:14" ht="12.75">
      <c r="A22" s="47"/>
      <c r="B22" s="25" t="s">
        <v>551</v>
      </c>
      <c r="C22" s="25" t="s">
        <v>552</v>
      </c>
      <c r="D22" s="25" t="s">
        <v>289</v>
      </c>
      <c r="E22" s="25" t="str">
        <f>"0,6428"</f>
        <v>0,6428</v>
      </c>
      <c r="F22" s="25" t="s">
        <v>16</v>
      </c>
      <c r="G22" s="25" t="s">
        <v>17</v>
      </c>
      <c r="H22" s="43" t="s">
        <v>286</v>
      </c>
      <c r="I22" s="26"/>
      <c r="J22" s="26"/>
      <c r="K22" s="26"/>
      <c r="L22" s="47" t="s">
        <v>571</v>
      </c>
      <c r="M22" s="25" t="str">
        <f>"0,0000"</f>
        <v>0,0000</v>
      </c>
      <c r="N22" s="25" t="s">
        <v>40</v>
      </c>
    </row>
    <row r="23" spans="1:14" ht="12.75">
      <c r="A23" s="36" t="s">
        <v>562</v>
      </c>
      <c r="B23" s="29" t="s">
        <v>680</v>
      </c>
      <c r="C23" s="29" t="s">
        <v>553</v>
      </c>
      <c r="D23" s="29" t="s">
        <v>554</v>
      </c>
      <c r="E23" s="29" t="str">
        <f>"0,6388"</f>
        <v>0,6388</v>
      </c>
      <c r="F23" s="29" t="s">
        <v>16</v>
      </c>
      <c r="G23" s="29" t="s">
        <v>652</v>
      </c>
      <c r="H23" s="38" t="s">
        <v>144</v>
      </c>
      <c r="I23" s="38" t="s">
        <v>555</v>
      </c>
      <c r="J23" s="38" t="s">
        <v>398</v>
      </c>
      <c r="K23" s="30"/>
      <c r="L23" s="36">
        <v>252.5</v>
      </c>
      <c r="M23" s="29" t="str">
        <f>"161,2970"</f>
        <v>161,2970</v>
      </c>
      <c r="N23" s="29" t="s">
        <v>40</v>
      </c>
    </row>
    <row r="24" spans="1:14" ht="12.75">
      <c r="A24" s="48"/>
      <c r="B24" s="27" t="s">
        <v>294</v>
      </c>
      <c r="C24" s="27" t="s">
        <v>295</v>
      </c>
      <c r="D24" s="27" t="s">
        <v>296</v>
      </c>
      <c r="E24" s="27" t="str">
        <f>"0,6440"</f>
        <v>0,6440</v>
      </c>
      <c r="F24" s="27" t="s">
        <v>16</v>
      </c>
      <c r="G24" s="27" t="s">
        <v>17</v>
      </c>
      <c r="H24" s="44" t="s">
        <v>102</v>
      </c>
      <c r="I24" s="28"/>
      <c r="J24" s="28"/>
      <c r="K24" s="28"/>
      <c r="L24" s="48" t="s">
        <v>571</v>
      </c>
      <c r="M24" s="27" t="str">
        <f>"0,0000"</f>
        <v>0,0000</v>
      </c>
      <c r="N24" s="27" t="s">
        <v>626</v>
      </c>
    </row>
  </sheetData>
  <sheetProtection/>
  <mergeCells count="17">
    <mergeCell ref="B1:N2"/>
    <mergeCell ref="B3:B4"/>
    <mergeCell ref="C3:C4"/>
    <mergeCell ref="D3:D4"/>
    <mergeCell ref="E3:E4"/>
    <mergeCell ref="F3:F4"/>
    <mergeCell ref="G3:G4"/>
    <mergeCell ref="H3:K3"/>
    <mergeCell ref="B16:M16"/>
    <mergeCell ref="B21:M21"/>
    <mergeCell ref="A3:A4"/>
    <mergeCell ref="L3:L4"/>
    <mergeCell ref="M3:M4"/>
    <mergeCell ref="N3:N4"/>
    <mergeCell ref="B5:M5"/>
    <mergeCell ref="B9:M9"/>
    <mergeCell ref="B13:M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G3" sqref="G3:G4"/>
    </sheetView>
  </sheetViews>
  <sheetFormatPr defaultColWidth="8.75390625" defaultRowHeight="12.75"/>
  <cols>
    <col min="1" max="1" width="6.25390625" style="37" customWidth="1"/>
    <col min="2" max="2" width="26.00390625" style="24" customWidth="1"/>
    <col min="3" max="3" width="26.875" style="24" bestFit="1" customWidth="1"/>
    <col min="4" max="4" width="12.25390625" style="24" bestFit="1" customWidth="1"/>
    <col min="5" max="5" width="8.375" style="24" bestFit="1" customWidth="1"/>
    <col min="6" max="6" width="22.75390625" style="24" bestFit="1" customWidth="1"/>
    <col min="7" max="7" width="28.25390625" style="24" customWidth="1"/>
    <col min="8" max="10" width="5.625" style="24" bestFit="1" customWidth="1"/>
    <col min="11" max="11" width="4.625" style="24" bestFit="1" customWidth="1"/>
    <col min="12" max="12" width="11.625" style="37" customWidth="1"/>
    <col min="13" max="13" width="8.625" style="24" bestFit="1" customWidth="1"/>
    <col min="14" max="14" width="15.75390625" style="24" customWidth="1"/>
  </cols>
  <sheetData>
    <row r="1" spans="2:14" s="1" customFormat="1" ht="15" customHeight="1">
      <c r="B1" s="163" t="s">
        <v>573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2:14" s="1" customFormat="1" ht="75" customHeight="1" thickBo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s="2" customFormat="1" ht="12.75" customHeight="1">
      <c r="A3" s="161" t="s">
        <v>561</v>
      </c>
      <c r="B3" s="165" t="s">
        <v>0</v>
      </c>
      <c r="C3" s="167" t="s">
        <v>9</v>
      </c>
      <c r="D3" s="167" t="s">
        <v>10</v>
      </c>
      <c r="E3" s="151" t="s">
        <v>11</v>
      </c>
      <c r="F3" s="151" t="s">
        <v>7</v>
      </c>
      <c r="G3" s="151" t="s">
        <v>583</v>
      </c>
      <c r="H3" s="151" t="s">
        <v>3</v>
      </c>
      <c r="I3" s="151"/>
      <c r="J3" s="151"/>
      <c r="K3" s="151"/>
      <c r="L3" s="151" t="s">
        <v>567</v>
      </c>
      <c r="M3" s="151" t="s">
        <v>6</v>
      </c>
      <c r="N3" s="169" t="s">
        <v>5</v>
      </c>
    </row>
    <row r="4" spans="1:14" s="2" customFormat="1" ht="35.25" customHeight="1" thickBot="1">
      <c r="A4" s="162"/>
      <c r="B4" s="166"/>
      <c r="C4" s="152"/>
      <c r="D4" s="168"/>
      <c r="E4" s="152"/>
      <c r="F4" s="152"/>
      <c r="G4" s="152"/>
      <c r="H4" s="3">
        <v>1</v>
      </c>
      <c r="I4" s="3">
        <v>2</v>
      </c>
      <c r="J4" s="3">
        <v>3</v>
      </c>
      <c r="K4" s="3" t="s">
        <v>8</v>
      </c>
      <c r="L4" s="152"/>
      <c r="M4" s="152"/>
      <c r="N4" s="170"/>
    </row>
    <row r="5" spans="1:13" ht="15.75">
      <c r="A5"/>
      <c r="B5" s="160" t="s">
        <v>34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4" ht="12.75">
      <c r="A6" s="36" t="s">
        <v>562</v>
      </c>
      <c r="B6" s="29" t="s">
        <v>660</v>
      </c>
      <c r="C6" s="29" t="s">
        <v>514</v>
      </c>
      <c r="D6" s="29" t="s">
        <v>37</v>
      </c>
      <c r="E6" s="29" t="str">
        <f>"0,9506"</f>
        <v>0,9506</v>
      </c>
      <c r="F6" s="29" t="s">
        <v>16</v>
      </c>
      <c r="G6" s="29" t="s">
        <v>17</v>
      </c>
      <c r="H6" s="38" t="s">
        <v>372</v>
      </c>
      <c r="I6" s="38" t="s">
        <v>248</v>
      </c>
      <c r="J6" s="38" t="s">
        <v>29</v>
      </c>
      <c r="K6" s="30"/>
      <c r="L6" s="36">
        <v>115</v>
      </c>
      <c r="M6" s="29" t="str">
        <f>"109,8656"</f>
        <v>109,8656</v>
      </c>
      <c r="N6" s="29" t="s">
        <v>23</v>
      </c>
    </row>
    <row r="8" spans="1:13" ht="15.75">
      <c r="A8"/>
      <c r="B8" s="171" t="s">
        <v>62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4" ht="12.75">
      <c r="A9" s="36" t="s">
        <v>562</v>
      </c>
      <c r="B9" s="29" t="s">
        <v>661</v>
      </c>
      <c r="C9" s="29" t="s">
        <v>516</v>
      </c>
      <c r="D9" s="29" t="s">
        <v>517</v>
      </c>
      <c r="E9" s="29" t="str">
        <f>"0,6704"</f>
        <v>0,6704</v>
      </c>
      <c r="F9" s="29" t="s">
        <v>16</v>
      </c>
      <c r="G9" s="29" t="s">
        <v>667</v>
      </c>
      <c r="H9" s="38" t="s">
        <v>434</v>
      </c>
      <c r="I9" s="30" t="s">
        <v>407</v>
      </c>
      <c r="J9" s="30"/>
      <c r="K9" s="30"/>
      <c r="L9" s="36">
        <v>270</v>
      </c>
      <c r="M9" s="29" t="str">
        <f>"181,0080"</f>
        <v>181,0080</v>
      </c>
      <c r="N9" s="29" t="s">
        <v>518</v>
      </c>
    </row>
    <row r="11" spans="1:13" ht="15.75">
      <c r="A11"/>
      <c r="B11" s="171" t="s">
        <v>85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</row>
    <row r="12" spans="1:14" ht="12.75">
      <c r="A12" s="47" t="s">
        <v>562</v>
      </c>
      <c r="B12" s="25" t="s">
        <v>662</v>
      </c>
      <c r="C12" s="25" t="s">
        <v>406</v>
      </c>
      <c r="D12" s="25" t="s">
        <v>296</v>
      </c>
      <c r="E12" s="25" t="str">
        <f>"0,6440"</f>
        <v>0,6440</v>
      </c>
      <c r="F12" s="25" t="s">
        <v>16</v>
      </c>
      <c r="G12" s="25" t="s">
        <v>17</v>
      </c>
      <c r="H12" s="45" t="s">
        <v>407</v>
      </c>
      <c r="I12" s="45" t="s">
        <v>408</v>
      </c>
      <c r="J12" s="49"/>
      <c r="K12" s="26"/>
      <c r="L12" s="47">
        <v>300</v>
      </c>
      <c r="M12" s="25" t="str">
        <f>"193,2000"</f>
        <v>193,2000</v>
      </c>
      <c r="N12" s="29" t="s">
        <v>40</v>
      </c>
    </row>
    <row r="13" spans="1:14" ht="12.75">
      <c r="A13" s="36" t="s">
        <v>570</v>
      </c>
      <c r="B13" s="29" t="s">
        <v>98</v>
      </c>
      <c r="C13" s="29" t="s">
        <v>99</v>
      </c>
      <c r="D13" s="29" t="s">
        <v>100</v>
      </c>
      <c r="E13" s="29" t="str">
        <f>"0,6479"</f>
        <v>0,6479</v>
      </c>
      <c r="F13" s="29" t="s">
        <v>16</v>
      </c>
      <c r="G13" s="29" t="s">
        <v>101</v>
      </c>
      <c r="H13" s="38" t="s">
        <v>51</v>
      </c>
      <c r="I13" s="50"/>
      <c r="J13" s="50"/>
      <c r="K13" s="30"/>
      <c r="L13" s="36">
        <v>130</v>
      </c>
      <c r="M13" s="29" t="str">
        <f>"84,2270"</f>
        <v>84,2270</v>
      </c>
      <c r="N13" s="29" t="s">
        <v>40</v>
      </c>
    </row>
    <row r="14" spans="1:14" ht="12.75">
      <c r="A14" s="48" t="s">
        <v>562</v>
      </c>
      <c r="B14" s="27" t="s">
        <v>97</v>
      </c>
      <c r="C14" s="27" t="s">
        <v>112</v>
      </c>
      <c r="D14" s="27" t="s">
        <v>113</v>
      </c>
      <c r="E14" s="27" t="str">
        <f>"0,6413"</f>
        <v>0,6413</v>
      </c>
      <c r="F14" s="27" t="s">
        <v>95</v>
      </c>
      <c r="G14" s="27" t="s">
        <v>17</v>
      </c>
      <c r="H14" s="46" t="s">
        <v>391</v>
      </c>
      <c r="I14" s="46" t="s">
        <v>519</v>
      </c>
      <c r="J14" s="46" t="s">
        <v>434</v>
      </c>
      <c r="K14" s="28"/>
      <c r="L14" s="48">
        <v>270</v>
      </c>
      <c r="M14" s="27" t="str">
        <f>"189,7735"</f>
        <v>189,7735</v>
      </c>
      <c r="N14" s="29" t="s">
        <v>40</v>
      </c>
    </row>
    <row r="16" spans="1:13" ht="15.75">
      <c r="A16"/>
      <c r="B16" s="171" t="s">
        <v>115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</row>
    <row r="17" spans="1:14" ht="12.75">
      <c r="A17" s="47" t="s">
        <v>562</v>
      </c>
      <c r="B17" s="25" t="s">
        <v>664</v>
      </c>
      <c r="C17" s="25" t="s">
        <v>521</v>
      </c>
      <c r="D17" s="25" t="s">
        <v>522</v>
      </c>
      <c r="E17" s="25" t="str">
        <f>"0,6288"</f>
        <v>0,6288</v>
      </c>
      <c r="F17" s="25" t="s">
        <v>523</v>
      </c>
      <c r="G17" s="25" t="s">
        <v>524</v>
      </c>
      <c r="H17" s="45" t="s">
        <v>525</v>
      </c>
      <c r="I17" s="45" t="s">
        <v>526</v>
      </c>
      <c r="J17" s="45" t="s">
        <v>527</v>
      </c>
      <c r="K17" s="26"/>
      <c r="L17" s="47">
        <v>322.5</v>
      </c>
      <c r="M17" s="25" t="str">
        <f>"202,7880"</f>
        <v>202,7880</v>
      </c>
      <c r="N17" s="29" t="s">
        <v>40</v>
      </c>
    </row>
    <row r="18" spans="1:14" ht="12.75">
      <c r="A18" s="36" t="s">
        <v>570</v>
      </c>
      <c r="B18" s="29" t="s">
        <v>663</v>
      </c>
      <c r="C18" s="29" t="s">
        <v>439</v>
      </c>
      <c r="D18" s="29" t="s">
        <v>440</v>
      </c>
      <c r="E18" s="29" t="str">
        <f>"0,6093"</f>
        <v>0,6093</v>
      </c>
      <c r="F18" s="29" t="s">
        <v>441</v>
      </c>
      <c r="G18" s="29" t="s">
        <v>442</v>
      </c>
      <c r="H18" s="38" t="s">
        <v>437</v>
      </c>
      <c r="I18" s="38" t="s">
        <v>438</v>
      </c>
      <c r="J18" s="50"/>
      <c r="K18" s="30"/>
      <c r="L18" s="36">
        <v>275</v>
      </c>
      <c r="M18" s="29" t="str">
        <f>"167,5575"</f>
        <v>167,5575</v>
      </c>
      <c r="N18" s="29" t="s">
        <v>668</v>
      </c>
    </row>
    <row r="19" spans="1:14" ht="12.75">
      <c r="A19" s="48" t="s">
        <v>572</v>
      </c>
      <c r="B19" s="27" t="s">
        <v>639</v>
      </c>
      <c r="C19" s="27" t="s">
        <v>443</v>
      </c>
      <c r="D19" s="27" t="s">
        <v>444</v>
      </c>
      <c r="E19" s="27" t="str">
        <f>"0,6126"</f>
        <v>0,6126</v>
      </c>
      <c r="F19" s="27" t="s">
        <v>95</v>
      </c>
      <c r="G19" s="27" t="s">
        <v>17</v>
      </c>
      <c r="H19" s="46" t="s">
        <v>398</v>
      </c>
      <c r="I19" s="44" t="s">
        <v>448</v>
      </c>
      <c r="J19" s="44" t="s">
        <v>399</v>
      </c>
      <c r="K19" s="28"/>
      <c r="L19" s="48">
        <v>252.5</v>
      </c>
      <c r="M19" s="27" t="str">
        <f>"154,6815"</f>
        <v>154,6815</v>
      </c>
      <c r="N19" s="27" t="s">
        <v>97</v>
      </c>
    </row>
    <row r="21" spans="1:13" ht="15.75">
      <c r="A21"/>
      <c r="B21" s="171" t="s">
        <v>138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  <row r="22" spans="1:14" ht="12.75">
      <c r="A22" s="47" t="s">
        <v>562</v>
      </c>
      <c r="B22" s="25" t="s">
        <v>665</v>
      </c>
      <c r="C22" s="25" t="s">
        <v>529</v>
      </c>
      <c r="D22" s="25" t="s">
        <v>530</v>
      </c>
      <c r="E22" s="25" t="str">
        <f>"0,5960"</f>
        <v>0,5960</v>
      </c>
      <c r="F22" s="25" t="s">
        <v>681</v>
      </c>
      <c r="G22" s="25" t="s">
        <v>667</v>
      </c>
      <c r="H22" s="45" t="s">
        <v>428</v>
      </c>
      <c r="I22" s="45" t="s">
        <v>531</v>
      </c>
      <c r="J22" s="45" t="s">
        <v>532</v>
      </c>
      <c r="K22" s="26"/>
      <c r="L22" s="47">
        <v>350</v>
      </c>
      <c r="M22" s="25" t="str">
        <f>"208,6000"</f>
        <v>208,6000</v>
      </c>
      <c r="N22" s="25" t="s">
        <v>533</v>
      </c>
    </row>
    <row r="23" spans="1:14" ht="12.75">
      <c r="A23" s="36" t="s">
        <v>570</v>
      </c>
      <c r="B23" s="29" t="s">
        <v>666</v>
      </c>
      <c r="C23" s="29" t="s">
        <v>534</v>
      </c>
      <c r="D23" s="29" t="s">
        <v>535</v>
      </c>
      <c r="E23" s="29" t="str">
        <f>"0,6053"</f>
        <v>0,6053</v>
      </c>
      <c r="F23" s="29" t="s">
        <v>16</v>
      </c>
      <c r="G23" s="29" t="s">
        <v>17</v>
      </c>
      <c r="H23" s="38" t="s">
        <v>391</v>
      </c>
      <c r="I23" s="41" t="s">
        <v>426</v>
      </c>
      <c r="J23" s="41" t="s">
        <v>426</v>
      </c>
      <c r="K23" s="30"/>
      <c r="L23" s="36">
        <v>250</v>
      </c>
      <c r="M23" s="29" t="str">
        <f>"151,3250"</f>
        <v>151,3250</v>
      </c>
      <c r="N23" s="29" t="s">
        <v>23</v>
      </c>
    </row>
    <row r="24" spans="1:14" ht="12.75">
      <c r="A24" s="48" t="s">
        <v>572</v>
      </c>
      <c r="B24" s="27" t="s">
        <v>508</v>
      </c>
      <c r="C24" s="27" t="s">
        <v>509</v>
      </c>
      <c r="D24" s="27" t="s">
        <v>510</v>
      </c>
      <c r="E24" s="27" t="str">
        <f>"0,5978"</f>
        <v>0,5978</v>
      </c>
      <c r="F24" s="27" t="s">
        <v>16</v>
      </c>
      <c r="G24" s="27" t="s">
        <v>28</v>
      </c>
      <c r="H24" s="46" t="s">
        <v>167</v>
      </c>
      <c r="I24" s="46" t="s">
        <v>168</v>
      </c>
      <c r="J24" s="46" t="s">
        <v>348</v>
      </c>
      <c r="K24" s="28"/>
      <c r="L24" s="48">
        <v>240</v>
      </c>
      <c r="M24" s="27" t="str">
        <f>"143,4720"</f>
        <v>143,4720</v>
      </c>
      <c r="N24" s="27" t="s">
        <v>658</v>
      </c>
    </row>
    <row r="27" spans="2:3" ht="18">
      <c r="B27" s="31" t="s">
        <v>183</v>
      </c>
      <c r="C27" s="31"/>
    </row>
    <row r="29" spans="2:3" ht="15.75">
      <c r="B29" s="32" t="s">
        <v>195</v>
      </c>
      <c r="C29" s="32"/>
    </row>
    <row r="30" spans="2:3" ht="13.5">
      <c r="B30" s="76" t="s">
        <v>192</v>
      </c>
      <c r="C30" s="34"/>
    </row>
    <row r="31" spans="2:6" ht="13.5">
      <c r="B31" s="35" t="s">
        <v>186</v>
      </c>
      <c r="C31" s="35" t="s">
        <v>187</v>
      </c>
      <c r="D31" s="35" t="s">
        <v>188</v>
      </c>
      <c r="E31" s="35" t="s">
        <v>189</v>
      </c>
      <c r="F31" s="35" t="s">
        <v>190</v>
      </c>
    </row>
    <row r="32" spans="1:6" ht="12.75">
      <c r="A32" s="37" t="s">
        <v>562</v>
      </c>
      <c r="B32" s="33" t="s">
        <v>528</v>
      </c>
      <c r="C32" s="77" t="s">
        <v>192</v>
      </c>
      <c r="D32" s="77" t="s">
        <v>203</v>
      </c>
      <c r="E32" s="77" t="s">
        <v>532</v>
      </c>
      <c r="F32" s="37" t="s">
        <v>536</v>
      </c>
    </row>
    <row r="33" spans="1:6" ht="12.75">
      <c r="A33" s="37" t="s">
        <v>570</v>
      </c>
      <c r="B33" s="33" t="s">
        <v>520</v>
      </c>
      <c r="C33" s="77" t="s">
        <v>192</v>
      </c>
      <c r="D33" s="77" t="s">
        <v>198</v>
      </c>
      <c r="E33" s="77" t="s">
        <v>527</v>
      </c>
      <c r="F33" s="37" t="s">
        <v>537</v>
      </c>
    </row>
    <row r="34" spans="1:6" ht="12.75">
      <c r="A34" s="37" t="s">
        <v>572</v>
      </c>
      <c r="B34" s="33" t="s">
        <v>405</v>
      </c>
      <c r="C34" s="77" t="s">
        <v>192</v>
      </c>
      <c r="D34" s="77" t="s">
        <v>202</v>
      </c>
      <c r="E34" s="77" t="s">
        <v>408</v>
      </c>
      <c r="F34" s="37" t="s">
        <v>538</v>
      </c>
    </row>
  </sheetData>
  <sheetProtection/>
  <mergeCells count="17">
    <mergeCell ref="B1:N2"/>
    <mergeCell ref="B3:B4"/>
    <mergeCell ref="C3:C4"/>
    <mergeCell ref="D3:D4"/>
    <mergeCell ref="E3:E4"/>
    <mergeCell ref="F3:F4"/>
    <mergeCell ref="G3:G4"/>
    <mergeCell ref="H3:K3"/>
    <mergeCell ref="B16:M16"/>
    <mergeCell ref="B21:M21"/>
    <mergeCell ref="A3:A4"/>
    <mergeCell ref="L3:L4"/>
    <mergeCell ref="M3:M4"/>
    <mergeCell ref="N3:N4"/>
    <mergeCell ref="B5:M5"/>
    <mergeCell ref="B8:M8"/>
    <mergeCell ref="B11:M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J1">
      <selection activeCell="P22" sqref="P22"/>
    </sheetView>
  </sheetViews>
  <sheetFormatPr defaultColWidth="11.00390625" defaultRowHeight="12.75"/>
  <cols>
    <col min="1" max="1" width="3.75390625" style="0" customWidth="1"/>
    <col min="2" max="2" width="24.875" style="0" customWidth="1"/>
    <col min="3" max="3" width="24.75390625" style="0" customWidth="1"/>
    <col min="6" max="6" width="32.625" style="0" customWidth="1"/>
    <col min="13" max="13" width="10.75390625" style="0" customWidth="1"/>
    <col min="14" max="14" width="11.75390625" style="0" hidden="1" customWidth="1"/>
    <col min="15" max="15" width="12.125" style="0" customWidth="1"/>
    <col min="16" max="16" width="14.00390625" style="0" customWidth="1"/>
  </cols>
  <sheetData>
    <row r="1" spans="1:19" ht="57.75" customHeight="1">
      <c r="A1" s="183"/>
      <c r="B1" s="184" t="s">
        <v>920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6"/>
      <c r="Q1" s="192"/>
      <c r="R1" s="175"/>
      <c r="S1" s="175"/>
    </row>
    <row r="2" spans="1:19" ht="28.5" hidden="1">
      <c r="A2" s="183"/>
      <c r="B2" s="187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/>
      <c r="Q2" s="192"/>
      <c r="R2" s="175"/>
      <c r="S2" s="175"/>
    </row>
    <row r="3" spans="1:19" ht="30" thickBot="1">
      <c r="A3" s="183"/>
      <c r="B3" s="190" t="s">
        <v>802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91"/>
      <c r="Q3" s="192"/>
      <c r="R3" s="175"/>
      <c r="S3" s="175"/>
    </row>
    <row r="4" spans="1:16" ht="13.5">
      <c r="A4" s="129"/>
      <c r="B4" s="145" t="s">
        <v>0</v>
      </c>
      <c r="C4" s="133" t="s">
        <v>691</v>
      </c>
      <c r="D4" s="147" t="s">
        <v>10</v>
      </c>
      <c r="E4" s="147" t="s">
        <v>7</v>
      </c>
      <c r="F4" s="147" t="s">
        <v>583</v>
      </c>
      <c r="G4" s="157" t="s">
        <v>914</v>
      </c>
      <c r="H4" s="158"/>
      <c r="I4" s="158"/>
      <c r="J4" s="177"/>
      <c r="K4" s="178" t="s">
        <v>915</v>
      </c>
      <c r="L4" s="158"/>
      <c r="M4" s="158"/>
      <c r="N4" s="177"/>
      <c r="O4" s="179" t="s">
        <v>916</v>
      </c>
      <c r="P4" s="153" t="s">
        <v>5</v>
      </c>
    </row>
    <row r="5" spans="1:16" ht="15" thickBot="1">
      <c r="A5" s="129"/>
      <c r="B5" s="146"/>
      <c r="C5" s="134" t="s">
        <v>917</v>
      </c>
      <c r="D5" s="176"/>
      <c r="E5" s="176"/>
      <c r="F5" s="176"/>
      <c r="G5" s="84" t="s">
        <v>562</v>
      </c>
      <c r="H5" s="84" t="s">
        <v>570</v>
      </c>
      <c r="I5" s="84" t="s">
        <v>572</v>
      </c>
      <c r="J5" s="84" t="s">
        <v>567</v>
      </c>
      <c r="K5" s="84" t="s">
        <v>747</v>
      </c>
      <c r="L5" s="84" t="s">
        <v>567</v>
      </c>
      <c r="M5" s="181" t="s">
        <v>918</v>
      </c>
      <c r="N5" s="182"/>
      <c r="O5" s="180"/>
      <c r="P5" s="154"/>
    </row>
    <row r="6" spans="1:19" ht="15.75">
      <c r="A6" s="129"/>
      <c r="B6" s="172" t="s">
        <v>921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</row>
    <row r="7" spans="2:19" ht="15.75">
      <c r="B7" s="172" t="s">
        <v>85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</row>
    <row r="8" spans="1:16" ht="12.75">
      <c r="A8" s="132">
        <v>1</v>
      </c>
      <c r="B8" s="29" t="s">
        <v>924</v>
      </c>
      <c r="C8" s="95" t="s">
        <v>925</v>
      </c>
      <c r="D8" s="95" t="s">
        <v>372</v>
      </c>
      <c r="E8" s="95" t="s">
        <v>16</v>
      </c>
      <c r="F8" s="95" t="s">
        <v>923</v>
      </c>
      <c r="G8" s="135">
        <v>165</v>
      </c>
      <c r="H8" s="136">
        <v>175</v>
      </c>
      <c r="I8" s="135">
        <v>175</v>
      </c>
      <c r="J8" s="140">
        <v>175</v>
      </c>
      <c r="K8" s="135">
        <v>90</v>
      </c>
      <c r="L8" s="137">
        <v>26</v>
      </c>
      <c r="M8" s="173">
        <v>2340</v>
      </c>
      <c r="N8" s="174"/>
      <c r="O8" s="138">
        <v>40</v>
      </c>
      <c r="P8" s="139" t="s">
        <v>919</v>
      </c>
    </row>
    <row r="9" spans="2:19" ht="15.75">
      <c r="B9" s="172" t="s">
        <v>138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</row>
    <row r="10" spans="1:16" ht="12.75">
      <c r="A10" s="132">
        <v>1</v>
      </c>
      <c r="B10" s="29" t="s">
        <v>922</v>
      </c>
      <c r="C10" s="95" t="s">
        <v>926</v>
      </c>
      <c r="D10" s="95" t="s">
        <v>927</v>
      </c>
      <c r="E10" s="95" t="s">
        <v>16</v>
      </c>
      <c r="F10" s="95" t="s">
        <v>928</v>
      </c>
      <c r="G10" s="135">
        <v>155</v>
      </c>
      <c r="H10" s="135">
        <v>160</v>
      </c>
      <c r="I10" s="136">
        <v>167.5</v>
      </c>
      <c r="J10" s="135">
        <v>160</v>
      </c>
      <c r="K10" s="135">
        <v>110</v>
      </c>
      <c r="L10" s="137">
        <v>17</v>
      </c>
      <c r="M10" s="173">
        <v>1870</v>
      </c>
      <c r="N10" s="174"/>
      <c r="O10" s="138">
        <v>40</v>
      </c>
      <c r="P10" s="139" t="s">
        <v>919</v>
      </c>
    </row>
    <row r="17" ht="12.75">
      <c r="K17" s="141"/>
    </row>
    <row r="22" ht="12.75">
      <c r="P22">
        <v>49</v>
      </c>
    </row>
  </sheetData>
  <sheetProtection/>
  <mergeCells count="21">
    <mergeCell ref="Q1:Q3"/>
    <mergeCell ref="R1:R3"/>
    <mergeCell ref="G4:J4"/>
    <mergeCell ref="K4:N4"/>
    <mergeCell ref="O4:O5"/>
    <mergeCell ref="P4:P5"/>
    <mergeCell ref="M5:N5"/>
    <mergeCell ref="A1:A3"/>
    <mergeCell ref="B1:P1"/>
    <mergeCell ref="B2:P2"/>
    <mergeCell ref="B3:P3"/>
    <mergeCell ref="B6:S6"/>
    <mergeCell ref="B7:S7"/>
    <mergeCell ref="M8:N8"/>
    <mergeCell ref="B9:S9"/>
    <mergeCell ref="M10:N10"/>
    <mergeCell ref="S1:S3"/>
    <mergeCell ref="B4:B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2015-10-05T12:32:42Z</dcterms:modified>
  <cp:category/>
  <cp:version/>
  <cp:contentType/>
  <cp:contentStatus/>
</cp:coreProperties>
</file>